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bancomultiva-my.sharepoint.com/personal/carlos_rodal_multiva_com_mx/Documents/Documentos/SINESTRA/2026/"/>
    </mc:Choice>
  </mc:AlternateContent>
  <xr:revisionPtr revIDLastSave="27" documentId="8_{06A885AB-04CB-433D-A959-0F97F79438DF}" xr6:coauthVersionLast="47" xr6:coauthVersionMax="47" xr10:uidLastSave="{FB8EA39E-4A05-4123-A9B7-DE8249239B43}"/>
  <bookViews>
    <workbookView xWindow="-110" yWindow="-110" windowWidth="19420" windowHeight="10300" xr2:uid="{00000000-000D-0000-FFFF-FFFF00000000}"/>
  </bookViews>
  <sheets>
    <sheet name="GRAFICAS" sheetId="3" r:id="rId1"/>
    <sheet name="36 MESES" sheetId="9" r:id="rId2"/>
    <sheet name="24 MESES" sheetId="10" r:id="rId3"/>
    <sheet name="12 MESES" sheetId="12" r:id="rId4"/>
    <sheet name="CALIFICACIONES" sheetId="7" r:id="rId5"/>
    <sheet name="FORMULAS" sheetId="8" r:id="rId6"/>
    <sheet name="TASAS EN USD" sheetId="13" r:id="rId7"/>
    <sheet name="MTX PRECIOS" sheetId="1" state="hidden" r:id="rId8"/>
    <sheet name="MTX CARAC" sheetId="2" state="hidden" r:id="rId9"/>
    <sheet name="12M CALENDAR" sheetId="15" state="hidden" r:id="rId10"/>
  </sheets>
  <externalReferences>
    <externalReference r:id="rId11"/>
  </externalReferences>
  <definedNames>
    <definedName name="_xlnm._FilterDatabase" localSheetId="0" hidden="1">GRAFICAS!$E$6</definedName>
    <definedName name="_xlnm.Print_Area" localSheetId="3">'12 MESES'!$A$1:$M$84</definedName>
    <definedName name="_xlnm.Print_Area" localSheetId="2">'24 MESES'!$A$1:$M$96</definedName>
    <definedName name="_xlnm.Print_Area" localSheetId="1">'36 MESES'!$A$1:$M$110</definedName>
    <definedName name="_xlnm.Print_Area" localSheetId="0">GRAFICAS!$A$1:$N$72</definedName>
    <definedName name="_xlnm.Print_Area" localSheetId="6">'TASAS EN USD'!$A$1:$G$39</definedName>
    <definedName name="_xlnm.Print_Titles" localSheetId="3">'12 MESES'!$1:$6</definedName>
    <definedName name="_xlnm.Print_Titles" localSheetId="2">'24 MESES'!$1:$6</definedName>
    <definedName name="_xlnm.Print_Titles" localSheetId="1">'36 MESES'!$1:$6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7" i="10" l="1"/>
  <c r="B191" i="12"/>
  <c r="R99" i="2"/>
  <c r="R3" i="2"/>
  <c r="R16" i="2" s="1"/>
  <c r="M95" i="1"/>
  <c r="R98" i="2" l="1"/>
  <c r="R96" i="2"/>
  <c r="R86" i="2"/>
  <c r="R74" i="2"/>
  <c r="R73" i="2"/>
  <c r="R97" i="2"/>
  <c r="R85" i="2"/>
  <c r="R61" i="2"/>
  <c r="R84" i="2"/>
  <c r="R49" i="2"/>
  <c r="R37" i="2"/>
  <c r="R25" i="2"/>
  <c r="R13" i="2"/>
  <c r="R87" i="2"/>
  <c r="R75" i="2"/>
  <c r="R63" i="2"/>
  <c r="R51" i="2"/>
  <c r="R39" i="2"/>
  <c r="R27" i="2"/>
  <c r="R15" i="2"/>
  <c r="R62" i="2"/>
  <c r="R50" i="2"/>
  <c r="R38" i="2"/>
  <c r="R26" i="2"/>
  <c r="R14" i="2"/>
  <c r="R48" i="2"/>
  <c r="R95" i="2"/>
  <c r="R47" i="2"/>
  <c r="R11" i="2"/>
  <c r="R82" i="2"/>
  <c r="R58" i="2"/>
  <c r="R34" i="2"/>
  <c r="R22" i="2"/>
  <c r="R10" i="2"/>
  <c r="R105" i="2"/>
  <c r="R93" i="2"/>
  <c r="R81" i="2"/>
  <c r="R69" i="2"/>
  <c r="R57" i="2"/>
  <c r="R45" i="2"/>
  <c r="R33" i="2"/>
  <c r="R21" i="2"/>
  <c r="R9" i="2"/>
  <c r="R83" i="2"/>
  <c r="R59" i="2"/>
  <c r="R23" i="2"/>
  <c r="R94" i="2"/>
  <c r="R70" i="2"/>
  <c r="R46" i="2"/>
  <c r="R104" i="2"/>
  <c r="R92" i="2"/>
  <c r="R80" i="2"/>
  <c r="R68" i="2"/>
  <c r="R56" i="2"/>
  <c r="R44" i="2"/>
  <c r="R32" i="2"/>
  <c r="R20" i="2"/>
  <c r="R8" i="2"/>
  <c r="R60" i="2"/>
  <c r="R36" i="2"/>
  <c r="R71" i="2"/>
  <c r="R35" i="2"/>
  <c r="R106" i="2"/>
  <c r="R103" i="2"/>
  <c r="R91" i="2"/>
  <c r="R79" i="2"/>
  <c r="R67" i="2"/>
  <c r="R55" i="2"/>
  <c r="R43" i="2"/>
  <c r="R31" i="2"/>
  <c r="R19" i="2"/>
  <c r="R7" i="2"/>
  <c r="R72" i="2"/>
  <c r="R24" i="2"/>
  <c r="R12" i="2"/>
  <c r="R4" i="2"/>
  <c r="R102" i="2"/>
  <c r="R90" i="2"/>
  <c r="R78" i="2"/>
  <c r="R66" i="2"/>
  <c r="R54" i="2"/>
  <c r="R42" i="2"/>
  <c r="R30" i="2"/>
  <c r="R18" i="2"/>
  <c r="R6" i="2"/>
  <c r="R101" i="2"/>
  <c r="R89" i="2"/>
  <c r="R77" i="2"/>
  <c r="R65" i="2"/>
  <c r="R53" i="2"/>
  <c r="R41" i="2"/>
  <c r="R29" i="2"/>
  <c r="R17" i="2"/>
  <c r="R5" i="2"/>
  <c r="R100" i="2"/>
  <c r="R88" i="2"/>
  <c r="R76" i="2"/>
  <c r="R64" i="2"/>
  <c r="R52" i="2"/>
  <c r="R40" i="2"/>
  <c r="R28" i="2"/>
  <c r="O115" i="1" l="1"/>
  <c r="R114" i="1" s="1"/>
  <c r="B360" i="9"/>
  <c r="B359" i="9"/>
  <c r="B358" i="9"/>
  <c r="B357" i="9"/>
  <c r="B356" i="9"/>
  <c r="B355" i="9"/>
  <c r="B354" i="9"/>
  <c r="I37" i="3"/>
  <c r="I36" i="3"/>
  <c r="I35" i="3"/>
  <c r="M11" i="12" l="1"/>
  <c r="L11" i="12"/>
  <c r="M11" i="10"/>
  <c r="L11"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337" i="9"/>
  <c r="B28" i="13" l="1"/>
  <c r="B27" i="13"/>
  <c r="A119" i="13"/>
  <c r="B215" i="12"/>
  <c r="B216" i="12"/>
  <c r="B217" i="12"/>
  <c r="B218" i="12"/>
  <c r="B219" i="12"/>
  <c r="B220" i="12"/>
  <c r="B221" i="12"/>
  <c r="D180" i="1" l="1"/>
  <c r="C180" i="1"/>
  <c r="D179" i="1"/>
  <c r="D178" i="1"/>
  <c r="D177" i="1"/>
  <c r="D176" i="1"/>
  <c r="D175" i="1"/>
  <c r="D174" i="1"/>
  <c r="D173" i="1"/>
  <c r="B269" i="12"/>
  <c r="B258" i="12"/>
  <c r="C268" i="12"/>
  <c r="D268" i="12" s="1"/>
  <c r="E268" i="12" s="1"/>
  <c r="F268" i="12" s="1"/>
  <c r="C257" i="12"/>
  <c r="D257" i="12" s="1"/>
  <c r="E257" i="12" s="1"/>
  <c r="F257" i="12" s="1"/>
  <c r="E15" i="12"/>
  <c r="G15" i="12" s="1"/>
  <c r="E14" i="12"/>
  <c r="H13" i="12"/>
  <c r="C260" i="12" s="1"/>
  <c r="C271" i="12" s="1"/>
  <c r="K12" i="12"/>
  <c r="F259" i="12" s="1"/>
  <c r="F270" i="12" s="1"/>
  <c r="J12" i="12"/>
  <c r="E259" i="12" s="1"/>
  <c r="E270" i="12" s="1"/>
  <c r="I12" i="12"/>
  <c r="D259" i="12" s="1"/>
  <c r="D270" i="12" s="1"/>
  <c r="H12" i="12"/>
  <c r="C259" i="12" s="1"/>
  <c r="C270" i="12" s="1"/>
  <c r="B361" i="10"/>
  <c r="B350" i="10"/>
  <c r="C360" i="10"/>
  <c r="D360" i="10" s="1"/>
  <c r="E360" i="10" s="1"/>
  <c r="F360" i="10" s="1"/>
  <c r="C349" i="10"/>
  <c r="D349" i="10" s="1"/>
  <c r="E349" i="10" s="1"/>
  <c r="F349" i="10" s="1"/>
  <c r="E15" i="10"/>
  <c r="E14" i="10"/>
  <c r="H13" i="10"/>
  <c r="C352" i="10" s="1"/>
  <c r="C363" i="10" s="1"/>
  <c r="K12" i="10"/>
  <c r="F351" i="10" s="1"/>
  <c r="F362" i="10" s="1"/>
  <c r="J12" i="10"/>
  <c r="E351" i="10" s="1"/>
  <c r="E362" i="10" s="1"/>
  <c r="I12" i="10"/>
  <c r="D351" i="10" s="1"/>
  <c r="H12" i="10"/>
  <c r="C351" i="10" s="1"/>
  <c r="G14" i="12" l="1"/>
  <c r="C272" i="12"/>
  <c r="C261" i="12"/>
  <c r="D362" i="10"/>
  <c r="C362" i="10"/>
  <c r="C353" i="10"/>
  <c r="G14" i="10"/>
  <c r="G15" i="10"/>
  <c r="B268" i="9"/>
  <c r="A268" i="9"/>
  <c r="B370" i="9"/>
  <c r="B369" i="9"/>
  <c r="B368" i="9"/>
  <c r="B367" i="9"/>
  <c r="B366" i="9"/>
  <c r="B365" i="9"/>
  <c r="B364" i="9"/>
  <c r="B363" i="9"/>
  <c r="B362" i="9"/>
  <c r="B361" i="9"/>
  <c r="B353" i="9"/>
  <c r="B352" i="9"/>
  <c r="B351" i="9"/>
  <c r="B350" i="9"/>
  <c r="B349" i="9"/>
  <c r="B348" i="9"/>
  <c r="B347" i="9"/>
  <c r="B346" i="9"/>
  <c r="B345" i="9"/>
  <c r="B344" i="9"/>
  <c r="B343" i="9"/>
  <c r="B342" i="9"/>
  <c r="B341" i="9"/>
  <c r="B340" i="9"/>
  <c r="B339" i="9"/>
  <c r="B338" i="9"/>
  <c r="B336" i="9"/>
  <c r="B335" i="9"/>
  <c r="B334" i="9"/>
  <c r="B333" i="9"/>
  <c r="B332" i="9"/>
  <c r="B331" i="9"/>
  <c r="B330" i="9"/>
  <c r="B329" i="9"/>
  <c r="B328" i="9"/>
  <c r="B327" i="9"/>
  <c r="B326" i="9"/>
  <c r="B325" i="9"/>
  <c r="B324" i="9"/>
  <c r="B323" i="9"/>
  <c r="B322" i="9"/>
  <c r="B321" i="9"/>
  <c r="B320" i="9"/>
  <c r="B319" i="9"/>
  <c r="B318" i="9"/>
  <c r="B317" i="9"/>
  <c r="B316" i="9"/>
  <c r="B315" i="9"/>
  <c r="B314" i="9"/>
  <c r="B313" i="9"/>
  <c r="B312" i="9"/>
  <c r="B311" i="9"/>
  <c r="B310" i="9"/>
  <c r="B309" i="9"/>
  <c r="B308" i="9"/>
  <c r="B307" i="9"/>
  <c r="B306" i="9"/>
  <c r="B305" i="9"/>
  <c r="B304" i="9"/>
  <c r="B303" i="9"/>
  <c r="B302" i="9"/>
  <c r="B301" i="9"/>
  <c r="B300" i="9"/>
  <c r="B299" i="9"/>
  <c r="B298" i="9"/>
  <c r="B297" i="9"/>
  <c r="B296" i="9"/>
  <c r="B295" i="9"/>
  <c r="B294" i="9"/>
  <c r="B293" i="9"/>
  <c r="B292" i="9"/>
  <c r="B291" i="9"/>
  <c r="B290" i="9"/>
  <c r="B289" i="9"/>
  <c r="B288" i="9"/>
  <c r="B287" i="9"/>
  <c r="B286" i="9"/>
  <c r="B285" i="9"/>
  <c r="B284" i="9"/>
  <c r="B283" i="9"/>
  <c r="B282" i="9"/>
  <c r="B281" i="9"/>
  <c r="B280" i="9"/>
  <c r="B279" i="9"/>
  <c r="C364" i="10" l="1"/>
  <c r="B406" i="9" l="1"/>
  <c r="C406" i="9" s="1"/>
  <c r="D406" i="9" s="1"/>
  <c r="E406" i="9" s="1"/>
  <c r="B395" i="9"/>
  <c r="C395" i="9" s="1"/>
  <c r="D395" i="9" s="1"/>
  <c r="E395" i="9" s="1"/>
  <c r="H13" i="9"/>
  <c r="B398" i="9" s="1"/>
  <c r="B409" i="9" s="1"/>
  <c r="K12" i="9"/>
  <c r="E397" i="9" s="1"/>
  <c r="J12" i="9"/>
  <c r="D397" i="9" s="1"/>
  <c r="D408" i="9" s="1"/>
  <c r="I12" i="9"/>
  <c r="C397" i="9" s="1"/>
  <c r="C408" i="9" s="1"/>
  <c r="H12" i="9"/>
  <c r="B397" i="9" s="1"/>
  <c r="E15" i="9"/>
  <c r="G15" i="9" s="1"/>
  <c r="E14" i="9"/>
  <c r="A396" i="9" s="1"/>
  <c r="D172" i="1"/>
  <c r="DC95" i="1"/>
  <c r="DB95" i="1"/>
  <c r="DA95" i="1"/>
  <c r="CZ95" i="1"/>
  <c r="CY95" i="1"/>
  <c r="CX95" i="1"/>
  <c r="CW95" i="1"/>
  <c r="CV95" i="1"/>
  <c r="CU95" i="1"/>
  <c r="B399" i="9" l="1"/>
  <c r="B408" i="9"/>
  <c r="E408" i="9"/>
  <c r="A407" i="9"/>
  <c r="G14" i="9"/>
  <c r="C9" i="12"/>
  <c r="B9" i="12"/>
  <c r="C9" i="10"/>
  <c r="B9" i="10"/>
  <c r="C9" i="9"/>
  <c r="B9" i="9"/>
  <c r="E7" i="3"/>
  <c r="A62" i="3" s="1"/>
  <c r="D171" i="1"/>
  <c r="B410" i="9" l="1"/>
  <c r="I38" i="3"/>
  <c r="G31" i="3"/>
  <c r="I30" i="3"/>
  <c r="L29" i="3"/>
  <c r="K29" i="3"/>
  <c r="J29" i="3"/>
  <c r="I29" i="3"/>
  <c r="D204" i="1"/>
  <c r="C205"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C181" i="1"/>
  <c r="D181" i="1" s="1"/>
  <c r="E181" i="1" s="1"/>
  <c r="F181" i="1" s="1"/>
  <c r="G181" i="1" s="1"/>
  <c r="H181" i="1" s="1"/>
  <c r="I181" i="1" s="1"/>
  <c r="J181" i="1" s="1"/>
  <c r="K181" i="1" s="1"/>
  <c r="L181" i="1" s="1"/>
  <c r="M181" i="1" s="1"/>
  <c r="D144" i="1"/>
  <c r="D143" i="1"/>
  <c r="D142" i="1"/>
  <c r="D141" i="1"/>
  <c r="D140" i="1"/>
  <c r="D139" i="1"/>
  <c r="D138" i="1"/>
  <c r="D137" i="1"/>
  <c r="D136" i="1"/>
  <c r="D135" i="1"/>
  <c r="D134" i="1"/>
  <c r="D133" i="1"/>
  <c r="E133" i="1" s="1"/>
  <c r="A133" i="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N4" i="3"/>
  <c r="B118" i="1"/>
  <c r="C118" i="1" s="1"/>
  <c r="B117" i="1"/>
  <c r="C117" i="1" s="1"/>
  <c r="M155" i="3"/>
  <c r="L155" i="3"/>
  <c r="K155" i="3"/>
  <c r="J155" i="3"/>
  <c r="I155" i="3"/>
  <c r="H155" i="3"/>
  <c r="G155" i="3"/>
  <c r="F155" i="3"/>
  <c r="E155" i="3"/>
  <c r="D155" i="3"/>
  <c r="C155" i="3"/>
  <c r="B155" i="3"/>
  <c r="C115" i="1"/>
  <c r="D115" i="1" s="1"/>
  <c r="E115" i="1" s="1"/>
  <c r="F115" i="1" s="1"/>
  <c r="G115" i="1" s="1"/>
  <c r="H115" i="1" s="1"/>
  <c r="I115" i="1" s="1"/>
  <c r="J115" i="1" s="1"/>
  <c r="K115" i="1" s="1"/>
  <c r="L115" i="1" s="1"/>
  <c r="M115" i="1" s="1"/>
  <c r="B98" i="1"/>
  <c r="C104" i="1"/>
  <c r="C105" i="1"/>
  <c r="C106" i="1"/>
  <c r="C107" i="1"/>
  <c r="C108" i="1"/>
  <c r="C109" i="1"/>
  <c r="C110" i="1"/>
  <c r="C111" i="1"/>
  <c r="C112" i="1"/>
  <c r="C113" i="1"/>
  <c r="C114" i="1"/>
  <c r="C103" i="1"/>
  <c r="D103" i="1" s="1"/>
  <c r="A103" i="1"/>
  <c r="A104" i="1" s="1"/>
  <c r="A105" i="1" s="1"/>
  <c r="A106" i="1" s="1"/>
  <c r="A107" i="1" s="1"/>
  <c r="A108" i="1" s="1"/>
  <c r="A109" i="1" s="1"/>
  <c r="A110" i="1" s="1"/>
  <c r="A111" i="1" s="1"/>
  <c r="A112" i="1" s="1"/>
  <c r="A113" i="1" s="1"/>
  <c r="A114" i="1" s="1"/>
  <c r="C10" i="3"/>
  <c r="H35" i="3" l="1"/>
  <c r="B125" i="1"/>
  <c r="H38" i="3" s="1"/>
  <c r="B124" i="1"/>
  <c r="H37" i="3" s="1"/>
  <c r="B123" i="1"/>
  <c r="H36" i="3" s="1"/>
  <c r="E204" i="1"/>
  <c r="K30" i="3" s="1"/>
  <c r="I13" i="12"/>
  <c r="D260" i="12" s="1"/>
  <c r="I13" i="10"/>
  <c r="D352" i="10" s="1"/>
  <c r="I13" i="9"/>
  <c r="C398" i="9" s="1"/>
  <c r="D205" i="1"/>
  <c r="J30" i="3"/>
  <c r="A208" i="1"/>
  <c r="E134" i="1"/>
  <c r="E135" i="1" s="1"/>
  <c r="E136" i="1" s="1"/>
  <c r="E137" i="1" s="1"/>
  <c r="E138" i="1" s="1"/>
  <c r="E139" i="1" s="1"/>
  <c r="E140" i="1" s="1"/>
  <c r="E141" i="1" s="1"/>
  <c r="E142" i="1" s="1"/>
  <c r="E143" i="1" s="1"/>
  <c r="E144" i="1" s="1"/>
  <c r="E145" i="1" s="1"/>
  <c r="E146" i="1" s="1"/>
  <c r="E147" i="1" s="1"/>
  <c r="E148" i="1" s="1"/>
  <c r="E149" i="1" s="1"/>
  <c r="E150" i="1" s="1"/>
  <c r="E151" i="1" s="1"/>
  <c r="E152" i="1" s="1"/>
  <c r="E153" i="1" s="1"/>
  <c r="E154" i="1" s="1"/>
  <c r="E155" i="1" s="1"/>
  <c r="E156" i="1" s="1"/>
  <c r="E157" i="1" s="1"/>
  <c r="E158" i="1" s="1"/>
  <c r="E159" i="1" s="1"/>
  <c r="E160" i="1" s="1"/>
  <c r="E161" i="1" s="1"/>
  <c r="E162" i="1" s="1"/>
  <c r="E163" i="1" s="1"/>
  <c r="E164" i="1" s="1"/>
  <c r="E165" i="1" s="1"/>
  <c r="E166" i="1" s="1"/>
  <c r="E167" i="1" s="1"/>
  <c r="E168" i="1" s="1"/>
  <c r="E169" i="1" s="1"/>
  <c r="E170" i="1" s="1"/>
  <c r="E171" i="1" s="1"/>
  <c r="E172" i="1" s="1"/>
  <c r="E173" i="1" s="1"/>
  <c r="E174" i="1" s="1"/>
  <c r="E175" i="1" s="1"/>
  <c r="E176" i="1" s="1"/>
  <c r="E177" i="1" s="1"/>
  <c r="E178" i="1" s="1"/>
  <c r="E179" i="1" s="1"/>
  <c r="E180" i="1" s="1"/>
  <c r="D104" i="1"/>
  <c r="D105" i="1" s="1"/>
  <c r="D106" i="1" s="1"/>
  <c r="D107" i="1" s="1"/>
  <c r="D108" i="1" s="1"/>
  <c r="D109" i="1" s="1"/>
  <c r="D110" i="1" s="1"/>
  <c r="D111" i="1" s="1"/>
  <c r="D112" i="1" s="1"/>
  <c r="D113" i="1" s="1"/>
  <c r="D114" i="1" s="1"/>
  <c r="D122" i="1" l="1"/>
  <c r="D124" i="1"/>
  <c r="D123" i="1"/>
  <c r="E205" i="1"/>
  <c r="C399" i="9"/>
  <c r="C409" i="9"/>
  <c r="D363" i="10"/>
  <c r="D364" i="10" s="1"/>
  <c r="D353" i="10"/>
  <c r="D271" i="12"/>
  <c r="D272" i="12" s="1"/>
  <c r="D261" i="12"/>
  <c r="F204" i="1"/>
  <c r="J13" i="10"/>
  <c r="E352" i="10" s="1"/>
  <c r="J13" i="12"/>
  <c r="E260" i="12" s="1"/>
  <c r="J13" i="9"/>
  <c r="D398" i="9" s="1"/>
  <c r="DU95" i="1"/>
  <c r="DV95" i="1"/>
  <c r="DW95" i="1"/>
  <c r="DX95" i="1"/>
  <c r="DY95" i="1"/>
  <c r="DZ95" i="1"/>
  <c r="DM95" i="1"/>
  <c r="DL95" i="1"/>
  <c r="DJ95" i="1"/>
  <c r="DI95" i="1"/>
  <c r="DH95" i="1"/>
  <c r="DG95" i="1"/>
  <c r="DF95" i="1"/>
  <c r="DE95" i="1"/>
  <c r="DD95" i="1"/>
  <c r="CT95" i="1"/>
  <c r="CS95" i="1"/>
  <c r="CR95" i="1"/>
  <c r="CQ95" i="1"/>
  <c r="CP95" i="1"/>
  <c r="CO95" i="1"/>
  <c r="CN95" i="1"/>
  <c r="CM95" i="1"/>
  <c r="CL95" i="1"/>
  <c r="CK95" i="1"/>
  <c r="CJ95" i="1"/>
  <c r="CI95" i="1"/>
  <c r="CH95" i="1"/>
  <c r="CG95" i="1"/>
  <c r="CF95" i="1"/>
  <c r="CE95" i="1"/>
  <c r="CD95" i="1"/>
  <c r="CC95" i="1"/>
  <c r="CB95" i="1"/>
  <c r="CA95" i="1"/>
  <c r="BZ95" i="1"/>
  <c r="BY95" i="1"/>
  <c r="BX95" i="1"/>
  <c r="BW95" i="1"/>
  <c r="BV95" i="1"/>
  <c r="BU95" i="1"/>
  <c r="BT95" i="1"/>
  <c r="BS95" i="1"/>
  <c r="BR95" i="1"/>
  <c r="BQ95" i="1"/>
  <c r="BP95" i="1"/>
  <c r="BO95" i="1"/>
  <c r="BN95" i="1"/>
  <c r="BM95" i="1"/>
  <c r="BL95" i="1"/>
  <c r="BK95" i="1"/>
  <c r="BJ95" i="1"/>
  <c r="BI95" i="1"/>
  <c r="BH95" i="1"/>
  <c r="BG95" i="1"/>
  <c r="BF95" i="1"/>
  <c r="BE95" i="1"/>
  <c r="BD95" i="1"/>
  <c r="BC95" i="1"/>
  <c r="BA95" i="1"/>
  <c r="AZ95" i="1"/>
  <c r="AY95" i="1"/>
  <c r="AX95" i="1"/>
  <c r="AW95" i="1"/>
  <c r="C410" i="9" l="1"/>
  <c r="F205" i="1"/>
  <c r="K13" i="12"/>
  <c r="F260" i="12" s="1"/>
  <c r="K13" i="10"/>
  <c r="F352" i="10" s="1"/>
  <c r="K13" i="9"/>
  <c r="E398" i="9" s="1"/>
  <c r="L30" i="3"/>
  <c r="D399" i="9"/>
  <c r="D409" i="9"/>
  <c r="E271" i="12"/>
  <c r="E272" i="12" s="1"/>
  <c r="E261" i="12"/>
  <c r="E363" i="10"/>
  <c r="E364" i="10" s="1"/>
  <c r="E353" i="10"/>
  <c r="D410" i="9" l="1"/>
  <c r="F271" i="12"/>
  <c r="F272" i="12" s="1"/>
  <c r="F261" i="12"/>
  <c r="E409" i="9"/>
  <c r="E399" i="9"/>
  <c r="F363" i="10"/>
  <c r="F364" i="10" s="1"/>
  <c r="F353" i="10"/>
  <c r="D125" i="1"/>
  <c r="E410" i="9" l="1"/>
  <c r="B198" i="12"/>
  <c r="B193" i="12"/>
  <c r="B12" i="13" l="1"/>
  <c r="L95" i="1" l="1"/>
  <c r="I95" i="1"/>
  <c r="C391" i="9" l="1"/>
  <c r="C344" i="10"/>
  <c r="B227" i="12" l="1"/>
  <c r="B211" i="12"/>
  <c r="B204" i="12"/>
  <c r="B195" i="12"/>
  <c r="B178" i="12"/>
  <c r="B150" i="12"/>
  <c r="B141" i="12"/>
  <c r="B187" i="12" l="1"/>
  <c r="F71" i="9" l="1"/>
  <c r="E71" i="9"/>
  <c r="F69" i="10"/>
  <c r="E69" i="10"/>
  <c r="C251" i="12" l="1"/>
  <c r="F69" i="12"/>
  <c r="E69" i="12"/>
  <c r="B169" i="12" l="1"/>
  <c r="DN95" i="1" l="1"/>
  <c r="DO95" i="1"/>
  <c r="B251" i="12" l="1"/>
  <c r="B172" i="12"/>
  <c r="B171" i="12"/>
  <c r="B170" i="12"/>
  <c r="B168" i="12"/>
  <c r="B167" i="12"/>
  <c r="B230" i="12"/>
  <c r="B229" i="12"/>
  <c r="B228" i="12"/>
  <c r="B222" i="12"/>
  <c r="B214" i="12"/>
  <c r="B212" i="12"/>
  <c r="B208" i="12"/>
  <c r="B205" i="12"/>
  <c r="B199" i="12"/>
  <c r="B196" i="12"/>
  <c r="B190" i="12"/>
  <c r="B189" i="12"/>
  <c r="B188" i="12"/>
  <c r="B185" i="12"/>
  <c r="B144" i="12"/>
  <c r="B142" i="12"/>
  <c r="B226" i="12"/>
  <c r="B225" i="12"/>
  <c r="B224" i="12"/>
  <c r="B223" i="12"/>
  <c r="B213" i="12"/>
  <c r="B210" i="12"/>
  <c r="B209" i="12"/>
  <c r="B207" i="12"/>
  <c r="B206" i="12"/>
  <c r="B203" i="12"/>
  <c r="B202" i="12"/>
  <c r="B201" i="12"/>
  <c r="B200" i="12"/>
  <c r="B197" i="12"/>
  <c r="B194" i="12"/>
  <c r="B192" i="12"/>
  <c r="B186" i="12"/>
  <c r="B184" i="12"/>
  <c r="B183" i="12"/>
  <c r="B182" i="12"/>
  <c r="B181" i="12"/>
  <c r="B180" i="12"/>
  <c r="B179" i="12"/>
  <c r="B177" i="12"/>
  <c r="B176" i="12"/>
  <c r="B175" i="12"/>
  <c r="B174" i="12"/>
  <c r="B173" i="12"/>
  <c r="B155" i="12"/>
  <c r="B154" i="12"/>
  <c r="B153" i="12"/>
  <c r="B152" i="12"/>
  <c r="B151" i="12"/>
  <c r="B149" i="12"/>
  <c r="B148" i="12"/>
  <c r="B147" i="12"/>
  <c r="B146" i="12"/>
  <c r="B145" i="12"/>
  <c r="B143" i="12"/>
  <c r="B140" i="12"/>
  <c r="B139" i="12"/>
  <c r="A70" i="12"/>
  <c r="A71" i="12" s="1"/>
  <c r="A72" i="12" s="1"/>
  <c r="A73" i="12" s="1"/>
  <c r="A74" i="12" s="1"/>
  <c r="A75" i="12" s="1"/>
  <c r="A76" i="12" s="1"/>
  <c r="A77" i="12" s="1"/>
  <c r="A78" i="12" s="1"/>
  <c r="A79" i="12" s="1"/>
  <c r="A80" i="12" s="1"/>
  <c r="A81" i="12" s="1"/>
  <c r="D68" i="12"/>
  <c r="F68" i="12" s="1"/>
  <c r="H68" i="12" s="1"/>
  <c r="C68" i="12"/>
  <c r="E68" i="12" s="1"/>
  <c r="G68" i="12" s="1"/>
  <c r="I68" i="12" l="1"/>
  <c r="L68" i="12"/>
  <c r="J68" i="12"/>
  <c r="M68" i="12"/>
  <c r="B344" i="10"/>
  <c r="A70" i="10"/>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A93" i="10" s="1"/>
  <c r="D68" i="10"/>
  <c r="F68" i="10" s="1"/>
  <c r="H68" i="10" s="1"/>
  <c r="C68" i="10"/>
  <c r="B391" i="9"/>
  <c r="D70" i="9"/>
  <c r="F70" i="9" s="1"/>
  <c r="H70" i="9" s="1"/>
  <c r="C70" i="9"/>
  <c r="E70" i="9" s="1"/>
  <c r="G70" i="9" s="1"/>
  <c r="A72" i="9"/>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J95" i="1"/>
  <c r="J68" i="10" l="1"/>
  <c r="M68" i="10"/>
  <c r="H262" i="9"/>
  <c r="M70" i="9"/>
  <c r="G262" i="9"/>
  <c r="L70" i="9"/>
  <c r="I70" i="9"/>
  <c r="I262" i="9" s="1"/>
  <c r="J70" i="9"/>
  <c r="J262" i="9" s="1"/>
  <c r="E68" i="10"/>
  <c r="G68" i="10" s="1"/>
  <c r="I68" i="10" l="1"/>
  <c r="L68" i="10"/>
  <c r="B160" i="12"/>
  <c r="B163" i="12"/>
  <c r="B166" i="12"/>
  <c r="B157" i="12"/>
  <c r="B164" i="12"/>
  <c r="B162" i="12"/>
  <c r="B158" i="12"/>
  <c r="B159" i="12"/>
  <c r="B156" i="12"/>
  <c r="B161" i="12"/>
  <c r="B165" i="12"/>
  <c r="AK95" i="1" l="1"/>
  <c r="AL95" i="1"/>
  <c r="AM95" i="1"/>
  <c r="AN95" i="1"/>
  <c r="AO95" i="1"/>
  <c r="AP95" i="1"/>
  <c r="AC95" i="1"/>
  <c r="AD95" i="1"/>
  <c r="AE95" i="1"/>
  <c r="AF95" i="1"/>
  <c r="Z95" i="1"/>
  <c r="Y95" i="1"/>
  <c r="X95" i="1"/>
  <c r="W95" i="1"/>
  <c r="N95" i="1"/>
  <c r="O95" i="1"/>
  <c r="P95" i="1"/>
  <c r="Q95" i="1"/>
  <c r="E95" i="1"/>
  <c r="F95" i="1"/>
  <c r="G95" i="1"/>
  <c r="AV95" i="1"/>
  <c r="AU95" i="1"/>
  <c r="AT95" i="1"/>
  <c r="AS95" i="1"/>
  <c r="AR95" i="1"/>
  <c r="C11" i="3" l="1"/>
  <c r="B10" i="10"/>
  <c r="C10" i="9"/>
  <c r="C10" i="12"/>
  <c r="C10" i="10"/>
  <c r="B10" i="12"/>
  <c r="B10" i="9"/>
  <c r="C19" i="9" l="1"/>
  <c r="B19" i="9"/>
  <c r="B19" i="12"/>
  <c r="C19" i="12"/>
  <c r="B19" i="10"/>
  <c r="C19" i="10"/>
  <c r="C13" i="9" l="1"/>
  <c r="C15" i="12"/>
  <c r="C13" i="12"/>
  <c r="C16" i="12"/>
  <c r="C14" i="12"/>
  <c r="C18" i="12"/>
  <c r="C11" i="12"/>
  <c r="C12" i="12"/>
  <c r="C12" i="10"/>
  <c r="B18" i="10"/>
  <c r="C15" i="10"/>
  <c r="C17" i="12"/>
  <c r="B13" i="10"/>
  <c r="B14" i="10"/>
  <c r="B16" i="10"/>
  <c r="B11" i="12"/>
  <c r="C14" i="9"/>
  <c r="B15" i="10"/>
  <c r="B17" i="10"/>
  <c r="B12" i="12"/>
  <c r="B11" i="9"/>
  <c r="B15" i="9"/>
  <c r="B17" i="9"/>
  <c r="C11" i="9"/>
  <c r="C12" i="9"/>
  <c r="C17" i="9"/>
  <c r="C15" i="9"/>
  <c r="C18" i="9"/>
  <c r="C16" i="9"/>
  <c r="B12" i="9"/>
  <c r="B11" i="10"/>
  <c r="B14" i="12"/>
  <c r="B13" i="12"/>
  <c r="B13" i="9"/>
  <c r="B14" i="9"/>
  <c r="B16" i="12"/>
  <c r="B15" i="12"/>
  <c r="B18" i="9"/>
  <c r="B12" i="10"/>
  <c r="B18" i="12"/>
  <c r="B17" i="12"/>
  <c r="B16" i="9"/>
  <c r="C13" i="10"/>
  <c r="C11" i="10"/>
  <c r="C14" i="10"/>
  <c r="C17" i="10"/>
  <c r="C16" i="10"/>
  <c r="C18" i="10"/>
  <c r="R1" i="2" l="1"/>
  <c r="H31" i="3" l="1"/>
  <c r="A168" i="3"/>
  <c r="C98" i="1"/>
  <c r="L15" i="12" l="1"/>
  <c r="M15" i="12"/>
  <c r="D118" i="1"/>
  <c r="A280" i="3" s="1"/>
  <c r="D119" i="1"/>
  <c r="A281" i="3" s="1"/>
  <c r="A185" i="1"/>
  <c r="J131" i="1"/>
  <c r="B208" i="1"/>
  <c r="M101" i="1"/>
  <c r="I101" i="1"/>
  <c r="J121" i="1"/>
  <c r="A159" i="3"/>
  <c r="DS95" i="1" l="1"/>
  <c r="B128" i="1" l="1"/>
  <c r="C128" i="1" s="1"/>
  <c r="D128" i="1" s="1"/>
  <c r="DQ95" i="1"/>
  <c r="DR95" i="1"/>
  <c r="DT95" i="1"/>
  <c r="DP95" i="1"/>
  <c r="B95" i="1"/>
  <c r="B96" i="1"/>
  <c r="C96" i="1" s="1"/>
  <c r="D96" i="1" s="1"/>
  <c r="E96" i="1" s="1"/>
  <c r="F96" i="1" s="1"/>
  <c r="G96" i="1" s="1"/>
  <c r="H96" i="1" s="1"/>
  <c r="I96" i="1" s="1"/>
  <c r="J96" i="1" s="1"/>
  <c r="K96" i="1" s="1"/>
  <c r="L96" i="1" l="1"/>
  <c r="M96" i="1" s="1"/>
  <c r="N96" i="1" s="1"/>
  <c r="O96" i="1" s="1"/>
  <c r="P96" i="1" s="1"/>
  <c r="Q96" i="1" s="1"/>
  <c r="R96" i="1" s="1"/>
  <c r="S96" i="1" s="1"/>
  <c r="T96" i="1" s="1"/>
  <c r="U96" i="1" s="1"/>
  <c r="V96" i="1" s="1"/>
  <c r="W96" i="1" s="1"/>
  <c r="X96" i="1" s="1"/>
  <c r="Y96" i="1" s="1"/>
  <c r="Z96" i="1" s="1"/>
  <c r="AA96" i="1" s="1"/>
  <c r="AB96" i="1" s="1"/>
  <c r="AC96" i="1" s="1"/>
  <c r="AD96" i="1" s="1"/>
  <c r="AE96" i="1" s="1"/>
  <c r="AF96" i="1" s="1"/>
  <c r="AG96" i="1" s="1"/>
  <c r="AH96" i="1" s="1"/>
  <c r="AI96" i="1" s="1"/>
  <c r="AJ96" i="1" s="1"/>
  <c r="AK96" i="1" s="1"/>
  <c r="AL96" i="1" s="1"/>
  <c r="AM96" i="1" s="1"/>
  <c r="AN96" i="1" s="1"/>
  <c r="AO96" i="1" s="1"/>
  <c r="AP96" i="1" s="1"/>
  <c r="AQ96" i="1" s="1"/>
  <c r="AR96" i="1" s="1"/>
  <c r="AS96" i="1" s="1"/>
  <c r="AT96" i="1" s="1"/>
  <c r="AU96" i="1" s="1"/>
  <c r="AV96" i="1" s="1"/>
  <c r="AW96" i="1" s="1"/>
  <c r="AX96" i="1" s="1"/>
  <c r="AY96" i="1" s="1"/>
  <c r="AZ96" i="1" s="1"/>
  <c r="BA96" i="1" s="1"/>
  <c r="BB96" i="1" s="1"/>
  <c r="BC96" i="1" s="1"/>
  <c r="BD96" i="1" s="1"/>
  <c r="BE96" i="1" s="1"/>
  <c r="BF96" i="1" s="1"/>
  <c r="BG96" i="1" s="1"/>
  <c r="BH96" i="1" s="1"/>
  <c r="BI96" i="1" s="1"/>
  <c r="BJ96" i="1" s="1"/>
  <c r="BK96" i="1" s="1"/>
  <c r="BL96" i="1" s="1"/>
  <c r="BM96" i="1" s="1"/>
  <c r="BN96" i="1" s="1"/>
  <c r="BO96" i="1" s="1"/>
  <c r="BP96" i="1" s="1"/>
  <c r="BQ96" i="1" s="1"/>
  <c r="BR96" i="1" s="1"/>
  <c r="BS96" i="1" s="1"/>
  <c r="BT96" i="1" s="1"/>
  <c r="BU96" i="1" s="1"/>
  <c r="BV96" i="1" s="1"/>
  <c r="BW96" i="1" s="1"/>
  <c r="BX96" i="1" s="1"/>
  <c r="BY96" i="1" s="1"/>
  <c r="BZ96" i="1" s="1"/>
  <c r="CA96" i="1" s="1"/>
  <c r="CB96" i="1" s="1"/>
  <c r="CC96" i="1" s="1"/>
  <c r="CD96" i="1" s="1"/>
  <c r="CE96" i="1" s="1"/>
  <c r="CF96" i="1" s="1"/>
  <c r="CG96" i="1" s="1"/>
  <c r="CH96" i="1" s="1"/>
  <c r="CI96" i="1" s="1"/>
  <c r="CJ96" i="1" s="1"/>
  <c r="CK96" i="1" s="1"/>
  <c r="CL96" i="1" s="1"/>
  <c r="CM96" i="1" s="1"/>
  <c r="CN96" i="1" s="1"/>
  <c r="CO96" i="1" s="1"/>
  <c r="CP96" i="1" s="1"/>
  <c r="CQ96" i="1" s="1"/>
  <c r="CR96" i="1" s="1"/>
  <c r="CS96" i="1" s="1"/>
  <c r="CT96" i="1" s="1"/>
  <c r="CU96" i="1" s="1"/>
  <c r="CV96" i="1" s="1"/>
  <c r="CW96" i="1" s="1"/>
  <c r="CX96" i="1" s="1"/>
  <c r="CY96" i="1" s="1"/>
  <c r="CZ96" i="1" s="1"/>
  <c r="DA96" i="1" s="1"/>
  <c r="DB96" i="1" s="1"/>
  <c r="DC96" i="1" s="1"/>
  <c r="DD96" i="1" s="1"/>
  <c r="DE96" i="1" s="1"/>
  <c r="DF96" i="1" s="1"/>
  <c r="DG96" i="1" s="1"/>
  <c r="DH96" i="1" s="1"/>
  <c r="DI96" i="1" s="1"/>
  <c r="DJ96" i="1" s="1"/>
  <c r="DK96" i="1" s="1"/>
  <c r="DL96" i="1" s="1"/>
  <c r="DM96" i="1" s="1"/>
  <c r="DN96" i="1" s="1"/>
  <c r="DO96" i="1" s="1"/>
  <c r="DP96" i="1" s="1"/>
  <c r="DQ96" i="1" s="1"/>
  <c r="DR96" i="1" s="1"/>
  <c r="DS96" i="1" s="1"/>
  <c r="DT96" i="1" s="1"/>
  <c r="DU96" i="1" s="1"/>
  <c r="DV96" i="1" s="1"/>
  <c r="DW96" i="1" s="1"/>
  <c r="DX96" i="1" s="1"/>
  <c r="DY96" i="1" s="1"/>
  <c r="DZ96" i="1" s="1"/>
  <c r="EA96" i="1" s="1"/>
  <c r="EB96" i="1" s="1"/>
  <c r="EC96" i="1" s="1"/>
  <c r="ED96" i="1" s="1"/>
  <c r="EE96" i="1" s="1"/>
  <c r="EF96" i="1" s="1"/>
  <c r="EG96" i="1" s="1"/>
  <c r="B70" i="12" l="1"/>
  <c r="B70" i="10"/>
  <c r="B72" i="9"/>
  <c r="C95" i="1"/>
  <c r="D95" i="1"/>
  <c r="H95" i="1"/>
  <c r="J95" i="1"/>
  <c r="K95" i="1"/>
  <c r="R95" i="1"/>
  <c r="S95" i="1"/>
  <c r="T95" i="1"/>
  <c r="U95" i="1"/>
  <c r="V95" i="1"/>
  <c r="AA95" i="1"/>
  <c r="AB95" i="1"/>
  <c r="AG95" i="1"/>
  <c r="AH95" i="1"/>
  <c r="AI95" i="1"/>
  <c r="AQ95" i="1"/>
  <c r="A120" i="13" l="1"/>
  <c r="K70" i="10"/>
  <c r="A408" i="9"/>
  <c r="A397" i="9"/>
  <c r="B270" i="12"/>
  <c r="B362" i="10"/>
  <c r="B351" i="10"/>
  <c r="F354" i="10" s="1"/>
  <c r="B259" i="12"/>
  <c r="K72" i="9"/>
  <c r="D98" i="1"/>
  <c r="B71" i="12"/>
  <c r="K70" i="12"/>
  <c r="B71" i="10"/>
  <c r="K71" i="10" s="1"/>
  <c r="B73" i="9"/>
  <c r="A121" i="13" l="1"/>
  <c r="F124" i="1"/>
  <c r="F123" i="1"/>
  <c r="F122" i="1"/>
  <c r="E122" i="1"/>
  <c r="E124" i="1"/>
  <c r="E123" i="1"/>
  <c r="E401" i="9"/>
  <c r="C400" i="9"/>
  <c r="D401" i="9"/>
  <c r="C401" i="9"/>
  <c r="B400" i="9"/>
  <c r="B401" i="9"/>
  <c r="E400" i="9"/>
  <c r="D400" i="9"/>
  <c r="C411" i="9"/>
  <c r="D411" i="9"/>
  <c r="B412" i="9"/>
  <c r="B411" i="9"/>
  <c r="C412" i="9"/>
  <c r="D412" i="9"/>
  <c r="E412" i="9"/>
  <c r="E273" i="12"/>
  <c r="F262" i="12"/>
  <c r="E262" i="12"/>
  <c r="F179" i="1"/>
  <c r="F180" i="1"/>
  <c r="F177" i="1"/>
  <c r="F178" i="1"/>
  <c r="F175" i="1"/>
  <c r="F176" i="1"/>
  <c r="F173" i="1"/>
  <c r="F174" i="1"/>
  <c r="F171" i="1"/>
  <c r="F153" i="1"/>
  <c r="A202" i="1"/>
  <c r="E113" i="1"/>
  <c r="F139" i="1"/>
  <c r="E109" i="1"/>
  <c r="F143" i="1"/>
  <c r="F169" i="1"/>
  <c r="F149" i="1"/>
  <c r="E108" i="1"/>
  <c r="F137" i="1"/>
  <c r="F132" i="1"/>
  <c r="F154" i="1"/>
  <c r="F148" i="1"/>
  <c r="F156" i="1"/>
  <c r="F147" i="1"/>
  <c r="F133" i="1"/>
  <c r="F151" i="1"/>
  <c r="E102" i="1"/>
  <c r="E112" i="1"/>
  <c r="F141" i="1"/>
  <c r="F136" i="1"/>
  <c r="F158" i="1"/>
  <c r="F152" i="1"/>
  <c r="F160" i="1"/>
  <c r="F168" i="1"/>
  <c r="F134" i="1"/>
  <c r="F155" i="1"/>
  <c r="E114" i="1"/>
  <c r="F138" i="1"/>
  <c r="F146" i="1"/>
  <c r="F159" i="1"/>
  <c r="F125" i="1"/>
  <c r="F145" i="1"/>
  <c r="E104" i="1"/>
  <c r="F165" i="1"/>
  <c r="E106" i="1"/>
  <c r="F142" i="1"/>
  <c r="F150" i="1"/>
  <c r="F157" i="1"/>
  <c r="F162" i="1"/>
  <c r="F170" i="1"/>
  <c r="E107" i="1"/>
  <c r="F140" i="1"/>
  <c r="F163" i="1"/>
  <c r="E125" i="1"/>
  <c r="E103" i="1"/>
  <c r="F135" i="1"/>
  <c r="F161" i="1"/>
  <c r="F164" i="1"/>
  <c r="F166" i="1"/>
  <c r="B72" i="12"/>
  <c r="K71" i="12"/>
  <c r="B74" i="9"/>
  <c r="K73" i="9"/>
  <c r="B72" i="10"/>
  <c r="K72" i="10" s="1"/>
  <c r="G123" i="1" l="1"/>
  <c r="I123" i="1"/>
  <c r="G122" i="1"/>
  <c r="I122" i="1"/>
  <c r="G124" i="1"/>
  <c r="H124" i="1" s="1"/>
  <c r="I124" i="1"/>
  <c r="K74" i="9"/>
  <c r="A122" i="13"/>
  <c r="H180" i="1"/>
  <c r="G180" i="1"/>
  <c r="I180" i="1"/>
  <c r="I179" i="1"/>
  <c r="H179" i="1"/>
  <c r="G179" i="1"/>
  <c r="G178" i="1"/>
  <c r="H178" i="1"/>
  <c r="I178" i="1"/>
  <c r="I177" i="1"/>
  <c r="H177" i="1"/>
  <c r="G177" i="1"/>
  <c r="G176" i="1"/>
  <c r="I176" i="1"/>
  <c r="H176" i="1"/>
  <c r="G175" i="1"/>
  <c r="I175" i="1"/>
  <c r="H175" i="1"/>
  <c r="G174" i="1"/>
  <c r="H174" i="1"/>
  <c r="I174" i="1"/>
  <c r="G150" i="1"/>
  <c r="G161" i="1"/>
  <c r="G158" i="1"/>
  <c r="J106" i="1"/>
  <c r="K106" i="1" s="1"/>
  <c r="I171" i="1"/>
  <c r="G171" i="1"/>
  <c r="H171" i="1"/>
  <c r="I165" i="1"/>
  <c r="I133" i="1"/>
  <c r="F114" i="1"/>
  <c r="I160" i="1"/>
  <c r="G134" i="1"/>
  <c r="G113" i="1"/>
  <c r="I158" i="1"/>
  <c r="I147" i="1"/>
  <c r="H139" i="1"/>
  <c r="G133" i="1"/>
  <c r="F108" i="1"/>
  <c r="H146" i="1"/>
  <c r="H155" i="1"/>
  <c r="L112" i="1"/>
  <c r="G109" i="1"/>
  <c r="H159" i="1"/>
  <c r="I148" i="1"/>
  <c r="H158" i="1"/>
  <c r="I159" i="1"/>
  <c r="G159" i="1"/>
  <c r="H143" i="1"/>
  <c r="H157" i="1"/>
  <c r="G148" i="1"/>
  <c r="I139" i="1"/>
  <c r="H148" i="1"/>
  <c r="G163" i="1"/>
  <c r="L106" i="1"/>
  <c r="G154" i="1"/>
  <c r="I141" i="1"/>
  <c r="H141" i="1"/>
  <c r="G140" i="1"/>
  <c r="G155" i="1"/>
  <c r="I154" i="1"/>
  <c r="H154" i="1"/>
  <c r="I155" i="1"/>
  <c r="G156" i="1"/>
  <c r="H156" i="1"/>
  <c r="J108" i="1"/>
  <c r="K108" i="1" s="1"/>
  <c r="L108" i="1"/>
  <c r="J114" i="1"/>
  <c r="K114" i="1" s="1"/>
  <c r="H103" i="1"/>
  <c r="G103" i="1"/>
  <c r="G146" i="1"/>
  <c r="H147" i="1"/>
  <c r="F103" i="1"/>
  <c r="J109" i="1"/>
  <c r="K109" i="1" s="1"/>
  <c r="G141" i="1"/>
  <c r="H169" i="1"/>
  <c r="I169" i="1"/>
  <c r="F109" i="1"/>
  <c r="H109" i="1"/>
  <c r="L109" i="1"/>
  <c r="L103" i="1"/>
  <c r="I146" i="1"/>
  <c r="L114" i="1"/>
  <c r="J112" i="1"/>
  <c r="K112" i="1" s="1"/>
  <c r="G147" i="1"/>
  <c r="G107" i="1"/>
  <c r="G169" i="1"/>
  <c r="J104" i="1"/>
  <c r="K104" i="1" s="1"/>
  <c r="F207" i="1"/>
  <c r="E207" i="1"/>
  <c r="D207" i="1"/>
  <c r="E206" i="1"/>
  <c r="C207" i="1"/>
  <c r="C206" i="1"/>
  <c r="J103" i="1"/>
  <c r="K103" i="1" s="1"/>
  <c r="I137" i="1"/>
  <c r="G125" i="1"/>
  <c r="H125" i="1" s="1"/>
  <c r="I142" i="1"/>
  <c r="I157" i="1"/>
  <c r="H134" i="1"/>
  <c r="I138" i="1"/>
  <c r="I156" i="1"/>
  <c r="G157" i="1"/>
  <c r="I143" i="1"/>
  <c r="G142" i="1"/>
  <c r="G151" i="1"/>
  <c r="I170" i="1"/>
  <c r="J113" i="1"/>
  <c r="K113" i="1" s="1"/>
  <c r="H114" i="1"/>
  <c r="G139" i="1"/>
  <c r="H142" i="1"/>
  <c r="I125" i="1"/>
  <c r="G143" i="1"/>
  <c r="I161" i="1"/>
  <c r="G166" i="1"/>
  <c r="G104" i="1"/>
  <c r="I149" i="1"/>
  <c r="G164" i="1"/>
  <c r="G160" i="1"/>
  <c r="I134" i="1"/>
  <c r="H137" i="1"/>
  <c r="I166" i="1"/>
  <c r="H170" i="1"/>
  <c r="H163" i="1"/>
  <c r="H133" i="1"/>
  <c r="I140" i="1"/>
  <c r="H138" i="1"/>
  <c r="F113" i="1"/>
  <c r="H164" i="1"/>
  <c r="J107" i="1"/>
  <c r="K107" i="1" s="1"/>
  <c r="L107" i="1"/>
  <c r="G137" i="1"/>
  <c r="G138" i="1"/>
  <c r="I164" i="1"/>
  <c r="H161" i="1"/>
  <c r="I136" i="1"/>
  <c r="G152" i="1"/>
  <c r="H108" i="1"/>
  <c r="H140" i="1"/>
  <c r="I150" i="1"/>
  <c r="F107" i="1"/>
  <c r="G108" i="1"/>
  <c r="L113" i="1"/>
  <c r="G165" i="1"/>
  <c r="H160" i="1"/>
  <c r="G149" i="1"/>
  <c r="G170" i="1"/>
  <c r="G114" i="1"/>
  <c r="H107" i="1"/>
  <c r="H113" i="1"/>
  <c r="H165" i="1"/>
  <c r="I151" i="1"/>
  <c r="H166" i="1"/>
  <c r="H149" i="1"/>
  <c r="H151" i="1"/>
  <c r="H135" i="1"/>
  <c r="H162" i="1"/>
  <c r="I163" i="1"/>
  <c r="G153" i="1"/>
  <c r="L104" i="1"/>
  <c r="G135" i="1"/>
  <c r="G162" i="1"/>
  <c r="I153" i="1"/>
  <c r="I152" i="1"/>
  <c r="I135" i="1"/>
  <c r="H136" i="1"/>
  <c r="I162" i="1"/>
  <c r="H153" i="1"/>
  <c r="H152" i="1"/>
  <c r="G136" i="1"/>
  <c r="H104" i="1"/>
  <c r="H150" i="1"/>
  <c r="F104" i="1"/>
  <c r="B73" i="12"/>
  <c r="K72" i="12"/>
  <c r="B75" i="9"/>
  <c r="B73" i="10"/>
  <c r="K73" i="10" s="1"/>
  <c r="A123" i="13" l="1"/>
  <c r="M114" i="1"/>
  <c r="J124" i="1"/>
  <c r="N188" i="1" s="1"/>
  <c r="H122" i="1"/>
  <c r="J122" i="1" s="1"/>
  <c r="H123" i="1"/>
  <c r="J123" i="1" s="1"/>
  <c r="J180" i="1"/>
  <c r="E187" i="1" s="1"/>
  <c r="E64" i="3" s="1"/>
  <c r="J179" i="1"/>
  <c r="J178" i="1"/>
  <c r="J177" i="1"/>
  <c r="M112" i="1"/>
  <c r="K157" i="3" s="1"/>
  <c r="J176" i="1"/>
  <c r="J175" i="1"/>
  <c r="J174" i="1"/>
  <c r="J158" i="1"/>
  <c r="K75" i="9"/>
  <c r="E208" i="1"/>
  <c r="M106" i="1"/>
  <c r="E157" i="3" s="1"/>
  <c r="J134" i="1"/>
  <c r="J171" i="1"/>
  <c r="C208" i="1"/>
  <c r="I114" i="1"/>
  <c r="M103" i="1"/>
  <c r="B157" i="3" s="1"/>
  <c r="J161" i="1"/>
  <c r="J147" i="1"/>
  <c r="M108" i="1"/>
  <c r="G157" i="3" s="1"/>
  <c r="M113" i="1"/>
  <c r="L157" i="3" s="1"/>
  <c r="I113" i="1"/>
  <c r="L156" i="3" s="1"/>
  <c r="J150" i="1"/>
  <c r="J138" i="1"/>
  <c r="M104" i="1"/>
  <c r="C157" i="3" s="1"/>
  <c r="M109" i="1"/>
  <c r="H157" i="3" s="1"/>
  <c r="J125" i="1"/>
  <c r="M107" i="1"/>
  <c r="F157" i="3" s="1"/>
  <c r="I108" i="1"/>
  <c r="G156" i="3" s="1"/>
  <c r="I103" i="1"/>
  <c r="B156" i="3" s="1"/>
  <c r="J133" i="1"/>
  <c r="J163" i="1"/>
  <c r="J140" i="1"/>
  <c r="J159" i="1"/>
  <c r="J141" i="1"/>
  <c r="J148" i="1"/>
  <c r="J154" i="1"/>
  <c r="J139" i="1"/>
  <c r="I107" i="1"/>
  <c r="F156" i="3" s="1"/>
  <c r="J156" i="1"/>
  <c r="J169" i="1"/>
  <c r="I104" i="1"/>
  <c r="C156" i="3" s="1"/>
  <c r="J143" i="1"/>
  <c r="J157" i="1"/>
  <c r="I109" i="1"/>
  <c r="H156" i="3" s="1"/>
  <c r="J146" i="1"/>
  <c r="J155" i="1"/>
  <c r="J162" i="1"/>
  <c r="J170" i="1"/>
  <c r="M14" i="10"/>
  <c r="J136" i="1"/>
  <c r="J149" i="1"/>
  <c r="J142" i="1"/>
  <c r="J151" i="1"/>
  <c r="I190" i="1" s="1"/>
  <c r="J166" i="1"/>
  <c r="J135" i="1"/>
  <c r="J164" i="1"/>
  <c r="J153" i="1"/>
  <c r="J137" i="1"/>
  <c r="J152" i="1"/>
  <c r="J160" i="1"/>
  <c r="J165" i="1"/>
  <c r="B76" i="9"/>
  <c r="B74" i="12"/>
  <c r="K73" i="12"/>
  <c r="B74" i="10"/>
  <c r="K74" i="10" s="1"/>
  <c r="C9" i="3"/>
  <c r="C20" i="3" s="1"/>
  <c r="L15" i="9" l="1"/>
  <c r="M15" i="9"/>
  <c r="C187" i="1"/>
  <c r="C64" i="3" s="1"/>
  <c r="D187" i="1"/>
  <c r="D64" i="3" s="1"/>
  <c r="L189" i="1"/>
  <c r="L66" i="3" s="1"/>
  <c r="B189" i="1"/>
  <c r="E189" i="1"/>
  <c r="E66" i="3" s="1"/>
  <c r="I189" i="1"/>
  <c r="I66" i="3" s="1"/>
  <c r="C189" i="1"/>
  <c r="F189" i="1"/>
  <c r="F66" i="3" s="1"/>
  <c r="G190" i="1"/>
  <c r="G189" i="1"/>
  <c r="G66" i="3" s="1"/>
  <c r="J189" i="1"/>
  <c r="J66" i="3" s="1"/>
  <c r="K190" i="1"/>
  <c r="L188" i="1"/>
  <c r="K188" i="1"/>
  <c r="M188" i="1"/>
  <c r="L190" i="1"/>
  <c r="H189" i="1"/>
  <c r="H66" i="3" s="1"/>
  <c r="M190" i="1"/>
  <c r="H190" i="1"/>
  <c r="K189" i="1"/>
  <c r="K66" i="3" s="1"/>
  <c r="J190" i="1"/>
  <c r="D189" i="1"/>
  <c r="D66" i="3" s="1"/>
  <c r="N189" i="1"/>
  <c r="N66" i="3" s="1"/>
  <c r="N190" i="1"/>
  <c r="N67" i="3" s="1"/>
  <c r="N65" i="3"/>
  <c r="M14" i="12"/>
  <c r="L15" i="10"/>
  <c r="M15" i="10"/>
  <c r="L14" i="10"/>
  <c r="L14" i="12"/>
  <c r="K76" i="9"/>
  <c r="A124" i="13"/>
  <c r="M156" i="3"/>
  <c r="M157" i="3"/>
  <c r="E159" i="3"/>
  <c r="M31" i="3"/>
  <c r="L14" i="9"/>
  <c r="N31" i="3"/>
  <c r="M14" i="9"/>
  <c r="N187" i="1"/>
  <c r="I31" i="3"/>
  <c r="B77" i="9"/>
  <c r="B75" i="12"/>
  <c r="K74" i="12"/>
  <c r="B75" i="10"/>
  <c r="K75" i="10" s="1"/>
  <c r="C25" i="13"/>
  <c r="C28" i="13" s="1"/>
  <c r="C17" i="3"/>
  <c r="C13" i="3"/>
  <c r="C15" i="3"/>
  <c r="C18" i="3"/>
  <c r="C14" i="3"/>
  <c r="C19" i="3"/>
  <c r="C16" i="3"/>
  <c r="C12" i="3"/>
  <c r="K77" i="9" l="1"/>
  <c r="A125" i="13"/>
  <c r="K31" i="3"/>
  <c r="C27" i="13"/>
  <c r="B78" i="9"/>
  <c r="B76" i="12"/>
  <c r="K75" i="12"/>
  <c r="B76" i="10"/>
  <c r="K76" i="10" s="1"/>
  <c r="K78" i="9" l="1"/>
  <c r="A126" i="13"/>
  <c r="D27" i="13"/>
  <c r="B79" i="9"/>
  <c r="B7" i="13"/>
  <c r="B77" i="12"/>
  <c r="K76" i="12"/>
  <c r="B77" i="10"/>
  <c r="K77" i="10" s="1"/>
  <c r="D35" i="13" l="1"/>
  <c r="E27" i="13"/>
  <c r="K79" i="9"/>
  <c r="A127" i="13"/>
  <c r="C10" i="13"/>
  <c r="D17" i="13" s="1"/>
  <c r="C11" i="13"/>
  <c r="B80" i="9"/>
  <c r="B78" i="12"/>
  <c r="K77" i="12"/>
  <c r="B78" i="10"/>
  <c r="K78" i="10" s="1"/>
  <c r="DQ120" i="1"/>
  <c r="K80" i="9" l="1"/>
  <c r="A128" i="13"/>
  <c r="D16" i="13"/>
  <c r="D10" i="13"/>
  <c r="B81" i="9"/>
  <c r="B79" i="12"/>
  <c r="K78" i="12"/>
  <c r="B79" i="10"/>
  <c r="K79" i="10" s="1"/>
  <c r="K81" i="9" l="1"/>
  <c r="A129" i="13"/>
  <c r="D34" i="13"/>
  <c r="E10" i="13"/>
  <c r="F16" i="13"/>
  <c r="C19" i="13" s="1"/>
  <c r="B82" i="9"/>
  <c r="B80" i="12"/>
  <c r="K79" i="12"/>
  <c r="B80" i="10"/>
  <c r="K80" i="10" s="1"/>
  <c r="K82" i="9" l="1"/>
  <c r="A130" i="13"/>
  <c r="F34" i="13"/>
  <c r="B83" i="9"/>
  <c r="B81" i="12"/>
  <c r="K80" i="12"/>
  <c r="B81" i="10"/>
  <c r="K81" i="10" s="1"/>
  <c r="K83" i="9" l="1"/>
  <c r="A131" i="13"/>
  <c r="B84" i="9"/>
  <c r="B250" i="12"/>
  <c r="B252" i="12" s="1"/>
  <c r="B253" i="12" s="1"/>
  <c r="K81" i="12"/>
  <c r="K82" i="12" s="1"/>
  <c r="B82" i="10"/>
  <c r="K82" i="10" s="1"/>
  <c r="K84" i="9" l="1"/>
  <c r="A132" i="13"/>
  <c r="B85" i="9"/>
  <c r="B83" i="10"/>
  <c r="K83" i="10" s="1"/>
  <c r="K85" i="9" l="1"/>
  <c r="A133" i="13"/>
  <c r="B86" i="9"/>
  <c r="B84" i="10"/>
  <c r="K84" i="10" s="1"/>
  <c r="K86" i="9" l="1"/>
  <c r="A134" i="13"/>
  <c r="B87" i="9"/>
  <c r="B85" i="10"/>
  <c r="K85" i="10" s="1"/>
  <c r="K87" i="9" l="1"/>
  <c r="A135" i="13"/>
  <c r="B88" i="9"/>
  <c r="B86" i="10"/>
  <c r="K86" i="10" s="1"/>
  <c r="K88" i="9" l="1"/>
  <c r="A136" i="13"/>
  <c r="B89" i="9"/>
  <c r="B87" i="10"/>
  <c r="K87" i="10" s="1"/>
  <c r="K89" i="9" l="1"/>
  <c r="A137" i="13"/>
  <c r="B90" i="9"/>
  <c r="B88" i="10"/>
  <c r="K88" i="10" s="1"/>
  <c r="K90" i="9" l="1"/>
  <c r="A138" i="13"/>
  <c r="N64" i="3"/>
  <c r="B91" i="9"/>
  <c r="B89" i="10"/>
  <c r="K89" i="10" s="1"/>
  <c r="K91" i="9" l="1"/>
  <c r="A139" i="13"/>
  <c r="B92" i="9"/>
  <c r="B90" i="10"/>
  <c r="K90" i="10" s="1"/>
  <c r="K92" i="9" l="1"/>
  <c r="A140" i="13"/>
  <c r="B93" i="9"/>
  <c r="B91" i="10"/>
  <c r="K91" i="10" s="1"/>
  <c r="K93" i="9" l="1"/>
  <c r="A141" i="13"/>
  <c r="B94" i="9"/>
  <c r="B92" i="10"/>
  <c r="K92" i="10" s="1"/>
  <c r="K94" i="9" l="1"/>
  <c r="A142" i="13"/>
  <c r="B95" i="9"/>
  <c r="B93" i="10"/>
  <c r="K95" i="9" l="1"/>
  <c r="A143" i="13"/>
  <c r="B96" i="9"/>
  <c r="B343" i="10"/>
  <c r="B345" i="10" s="1"/>
  <c r="B346" i="10" s="1"/>
  <c r="K93" i="10"/>
  <c r="K94" i="10" s="1"/>
  <c r="K96" i="9" l="1"/>
  <c r="A144" i="13"/>
  <c r="B97" i="9"/>
  <c r="K97" i="9" l="1"/>
  <c r="A145" i="13"/>
  <c r="B98" i="9"/>
  <c r="K98" i="9" l="1"/>
  <c r="A146" i="13"/>
  <c r="B99" i="9"/>
  <c r="K99" i="9" l="1"/>
  <c r="A147" i="13"/>
  <c r="B100" i="9"/>
  <c r="K100" i="9" l="1"/>
  <c r="A148" i="13"/>
  <c r="D68" i="9"/>
  <c r="D100" i="9" s="1"/>
  <c r="D66" i="10"/>
  <c r="D66" i="12"/>
  <c r="C68" i="9"/>
  <c r="C66" i="10"/>
  <c r="C66" i="12"/>
  <c r="B101" i="9"/>
  <c r="K101" i="9" l="1"/>
  <c r="A149" i="13"/>
  <c r="D83" i="10"/>
  <c r="D69" i="10"/>
  <c r="D84" i="10"/>
  <c r="D85" i="10"/>
  <c r="D88" i="10"/>
  <c r="D89" i="10"/>
  <c r="D90" i="10"/>
  <c r="D91" i="10"/>
  <c r="D92" i="10"/>
  <c r="D93" i="10"/>
  <c r="D75" i="9"/>
  <c r="D74" i="9"/>
  <c r="D77" i="9"/>
  <c r="D76" i="9"/>
  <c r="D78" i="9"/>
  <c r="D87" i="9"/>
  <c r="D88" i="9"/>
  <c r="D94" i="9"/>
  <c r="D97" i="9"/>
  <c r="C71" i="12"/>
  <c r="C75" i="12"/>
  <c r="C74" i="12"/>
  <c r="C78" i="12"/>
  <c r="C72" i="12"/>
  <c r="C79" i="12"/>
  <c r="C73" i="12"/>
  <c r="C80" i="12"/>
  <c r="C70" i="12"/>
  <c r="C69" i="12"/>
  <c r="C76" i="12"/>
  <c r="C83" i="10"/>
  <c r="C74" i="10"/>
  <c r="C81" i="10"/>
  <c r="C76" i="10"/>
  <c r="C82" i="10"/>
  <c r="C69" i="10"/>
  <c r="C73" i="10"/>
  <c r="C70" i="10"/>
  <c r="C77" i="10"/>
  <c r="C84" i="10"/>
  <c r="C72" i="10"/>
  <c r="C78" i="10"/>
  <c r="C75" i="10"/>
  <c r="C79" i="10"/>
  <c r="C80" i="10"/>
  <c r="C71" i="10"/>
  <c r="C85" i="10"/>
  <c r="C86" i="10"/>
  <c r="C87" i="10"/>
  <c r="C88" i="10"/>
  <c r="C90" i="10"/>
  <c r="C91" i="10"/>
  <c r="C92" i="10"/>
  <c r="C93" i="10"/>
  <c r="C84" i="9"/>
  <c r="C75" i="9"/>
  <c r="C77" i="9"/>
  <c r="C72" i="9"/>
  <c r="C73" i="9"/>
  <c r="C74" i="9"/>
  <c r="C71" i="9"/>
  <c r="C81" i="9"/>
  <c r="C85" i="9"/>
  <c r="C76" i="9"/>
  <c r="C82" i="9"/>
  <c r="C78" i="9"/>
  <c r="C83" i="9"/>
  <c r="C86" i="9"/>
  <c r="C87" i="9"/>
  <c r="C88" i="9"/>
  <c r="C89" i="9"/>
  <c r="C90" i="9"/>
  <c r="C91" i="9"/>
  <c r="C92" i="9"/>
  <c r="C93" i="9"/>
  <c r="C94" i="9"/>
  <c r="C95" i="9"/>
  <c r="C96" i="9"/>
  <c r="C97" i="9"/>
  <c r="C98" i="9"/>
  <c r="C99" i="9"/>
  <c r="D101" i="9"/>
  <c r="C101" i="9"/>
  <c r="B102" i="9"/>
  <c r="C366" i="10" l="1"/>
  <c r="C355" i="10"/>
  <c r="L76" i="9"/>
  <c r="D365" i="10"/>
  <c r="K102" i="9"/>
  <c r="A150" i="13"/>
  <c r="E354" i="10"/>
  <c r="C354" i="10"/>
  <c r="C365" i="10"/>
  <c r="E366" i="10"/>
  <c r="D366" i="10"/>
  <c r="F366" i="10"/>
  <c r="E355" i="10"/>
  <c r="D355" i="10"/>
  <c r="F355" i="10"/>
  <c r="L88" i="10"/>
  <c r="L85" i="9"/>
  <c r="L82" i="10"/>
  <c r="L75" i="10"/>
  <c r="M76" i="9"/>
  <c r="L79" i="12"/>
  <c r="M85" i="10"/>
  <c r="L80" i="10"/>
  <c r="L91" i="10"/>
  <c r="L80" i="12"/>
  <c r="L75" i="9"/>
  <c r="L70" i="12"/>
  <c r="L75" i="12"/>
  <c r="M90" i="10"/>
  <c r="L70" i="10"/>
  <c r="L97" i="9"/>
  <c r="M91" i="10"/>
  <c r="L89" i="9"/>
  <c r="L94" i="9"/>
  <c r="M84" i="10"/>
  <c r="L83" i="9"/>
  <c r="L92" i="9"/>
  <c r="L78" i="10"/>
  <c r="L73" i="12"/>
  <c r="L86" i="10"/>
  <c r="L84" i="10"/>
  <c r="L74" i="10"/>
  <c r="L93" i="9"/>
  <c r="L76" i="10"/>
  <c r="L71" i="12"/>
  <c r="L96" i="9"/>
  <c r="L88" i="9"/>
  <c r="L87" i="10"/>
  <c r="L72" i="10"/>
  <c r="L81" i="10"/>
  <c r="M89" i="10"/>
  <c r="L86" i="9"/>
  <c r="L94" i="10"/>
  <c r="L93" i="10"/>
  <c r="L85" i="10"/>
  <c r="L77" i="10"/>
  <c r="L83" i="10"/>
  <c r="L72" i="12"/>
  <c r="L74" i="9"/>
  <c r="L92" i="10"/>
  <c r="G71" i="10"/>
  <c r="I71" i="10" s="1"/>
  <c r="L71" i="10"/>
  <c r="L76" i="12"/>
  <c r="L78" i="9"/>
  <c r="L73" i="10"/>
  <c r="L74" i="12"/>
  <c r="M94" i="10"/>
  <c r="M93" i="10"/>
  <c r="L82" i="9"/>
  <c r="L79" i="10"/>
  <c r="M92" i="10"/>
  <c r="H101" i="9"/>
  <c r="J101" i="9" s="1"/>
  <c r="M101" i="9"/>
  <c r="M88" i="9"/>
  <c r="M75" i="9"/>
  <c r="M77" i="9"/>
  <c r="M78" i="9"/>
  <c r="L98" i="9"/>
  <c r="L90" i="9"/>
  <c r="L77" i="9"/>
  <c r="L95" i="9"/>
  <c r="L87" i="9"/>
  <c r="L84" i="9"/>
  <c r="L73" i="9"/>
  <c r="L99" i="9"/>
  <c r="L91" i="9"/>
  <c r="L72" i="9"/>
  <c r="G74" i="9"/>
  <c r="I74" i="9" s="1"/>
  <c r="H76" i="9"/>
  <c r="J76" i="9" s="1"/>
  <c r="H78" i="9"/>
  <c r="J78" i="9" s="1"/>
  <c r="G82" i="9"/>
  <c r="I82" i="9" s="1"/>
  <c r="G79" i="10"/>
  <c r="I79" i="10" s="1"/>
  <c r="H92" i="10"/>
  <c r="J92" i="10" s="1"/>
  <c r="H90" i="10"/>
  <c r="J90" i="10" s="1"/>
  <c r="G75" i="10"/>
  <c r="I75" i="10" s="1"/>
  <c r="G85" i="9"/>
  <c r="I85" i="9" s="1"/>
  <c r="G80" i="12"/>
  <c r="I80" i="12" s="1"/>
  <c r="G76" i="12"/>
  <c r="I76" i="12" s="1"/>
  <c r="H89" i="10"/>
  <c r="J89" i="10" s="1"/>
  <c r="G76" i="9"/>
  <c r="I76" i="9" s="1"/>
  <c r="H91" i="10"/>
  <c r="J91" i="10" s="1"/>
  <c r="H75" i="9"/>
  <c r="J75" i="9" s="1"/>
  <c r="G77" i="10"/>
  <c r="I77" i="10" s="1"/>
  <c r="G72" i="12"/>
  <c r="I72" i="12" s="1"/>
  <c r="H88" i="9"/>
  <c r="J88" i="9" s="1"/>
  <c r="H85" i="10"/>
  <c r="J85" i="10" s="1"/>
  <c r="H84" i="10"/>
  <c r="J84" i="10" s="1"/>
  <c r="G78" i="9"/>
  <c r="I78" i="9" s="1"/>
  <c r="G73" i="9"/>
  <c r="I73" i="9" s="1"/>
  <c r="G80" i="10"/>
  <c r="I80" i="10" s="1"/>
  <c r="G73" i="10"/>
  <c r="I73" i="10" s="1"/>
  <c r="G74" i="12"/>
  <c r="I74" i="12" s="1"/>
  <c r="H77" i="9"/>
  <c r="J77" i="9" s="1"/>
  <c r="D94" i="10"/>
  <c r="H94" i="10"/>
  <c r="H93" i="10"/>
  <c r="J93" i="10" s="1"/>
  <c r="J94" i="10"/>
  <c r="G94" i="9"/>
  <c r="I94" i="9" s="1"/>
  <c r="G86" i="9"/>
  <c r="I86" i="9" s="1"/>
  <c r="G93" i="10"/>
  <c r="I93" i="10" s="1"/>
  <c r="C94" i="10"/>
  <c r="G94" i="10"/>
  <c r="I94" i="10"/>
  <c r="G85" i="10"/>
  <c r="I85" i="10" s="1"/>
  <c r="G93" i="9"/>
  <c r="I93" i="9" s="1"/>
  <c r="G84" i="9"/>
  <c r="I84" i="9" s="1"/>
  <c r="G83" i="9"/>
  <c r="I83" i="9" s="1"/>
  <c r="G92" i="10"/>
  <c r="I92" i="10" s="1"/>
  <c r="G70" i="10"/>
  <c r="E70" i="10"/>
  <c r="E71" i="10" s="1"/>
  <c r="E72" i="10" s="1"/>
  <c r="E73" i="10" s="1"/>
  <c r="E74" i="10" s="1"/>
  <c r="E75" i="10" s="1"/>
  <c r="E76" i="10" s="1"/>
  <c r="E77" i="10" s="1"/>
  <c r="E78" i="10" s="1"/>
  <c r="E79" i="10" s="1"/>
  <c r="E80" i="10" s="1"/>
  <c r="E81" i="10" s="1"/>
  <c r="E82" i="10" s="1"/>
  <c r="E83" i="10" s="1"/>
  <c r="E84" i="10" s="1"/>
  <c r="E85" i="10" s="1"/>
  <c r="E86" i="10" s="1"/>
  <c r="E87" i="10" s="1"/>
  <c r="E88" i="10" s="1"/>
  <c r="G92" i="9"/>
  <c r="I92" i="9" s="1"/>
  <c r="G91" i="10"/>
  <c r="I91" i="10" s="1"/>
  <c r="G99" i="9"/>
  <c r="I99" i="9" s="1"/>
  <c r="G91" i="9"/>
  <c r="I91" i="9" s="1"/>
  <c r="G72" i="9"/>
  <c r="I72" i="9" s="1"/>
  <c r="E72" i="9"/>
  <c r="E73" i="9" s="1"/>
  <c r="E74" i="9" s="1"/>
  <c r="E75" i="9" s="1"/>
  <c r="E76" i="9" s="1"/>
  <c r="E77" i="9" s="1"/>
  <c r="E78" i="9" s="1"/>
  <c r="G98" i="9"/>
  <c r="I98" i="9" s="1"/>
  <c r="G90" i="9"/>
  <c r="I90" i="9" s="1"/>
  <c r="G77" i="9"/>
  <c r="I77" i="9" s="1"/>
  <c r="G83" i="10"/>
  <c r="I83" i="10" s="1"/>
  <c r="G82" i="10"/>
  <c r="I82" i="10" s="1"/>
  <c r="G70" i="12"/>
  <c r="E70" i="12"/>
  <c r="E71" i="12" s="1"/>
  <c r="E72" i="12" s="1"/>
  <c r="E73" i="12" s="1"/>
  <c r="E74" i="12" s="1"/>
  <c r="E75" i="12" s="1"/>
  <c r="E76" i="12" s="1"/>
  <c r="G75" i="12"/>
  <c r="I75" i="12" s="1"/>
  <c r="G97" i="9"/>
  <c r="I97" i="9" s="1"/>
  <c r="G89" i="9"/>
  <c r="I89" i="9" s="1"/>
  <c r="G75" i="9"/>
  <c r="I75" i="9" s="1"/>
  <c r="G88" i="10"/>
  <c r="I88" i="10" s="1"/>
  <c r="G78" i="10"/>
  <c r="I78" i="10" s="1"/>
  <c r="G76" i="10"/>
  <c r="I76" i="10" s="1"/>
  <c r="G71" i="12"/>
  <c r="I71" i="12" s="1"/>
  <c r="G96" i="9"/>
  <c r="I96" i="9" s="1"/>
  <c r="G88" i="9"/>
  <c r="I88" i="9" s="1"/>
  <c r="G87" i="10"/>
  <c r="I87" i="10" s="1"/>
  <c r="G72" i="10"/>
  <c r="I72" i="10" s="1"/>
  <c r="G81" i="10"/>
  <c r="I81" i="10" s="1"/>
  <c r="G73" i="12"/>
  <c r="I73" i="12" s="1"/>
  <c r="G95" i="9"/>
  <c r="I95" i="9" s="1"/>
  <c r="G87" i="9"/>
  <c r="I87" i="9" s="1"/>
  <c r="G86" i="10"/>
  <c r="I86" i="10" s="1"/>
  <c r="G84" i="10"/>
  <c r="I84" i="10" s="1"/>
  <c r="G74" i="10"/>
  <c r="I74" i="10" s="1"/>
  <c r="G79" i="12"/>
  <c r="I79" i="12" s="1"/>
  <c r="D102" i="9"/>
  <c r="B103" i="9"/>
  <c r="F358" i="10" l="1"/>
  <c r="F357" i="10"/>
  <c r="F356" i="10"/>
  <c r="K103" i="9"/>
  <c r="A151" i="13"/>
  <c r="E356" i="10"/>
  <c r="C367" i="10"/>
  <c r="C369" i="10"/>
  <c r="C368" i="10"/>
  <c r="D367" i="10"/>
  <c r="D368" i="10"/>
  <c r="D369" i="10"/>
  <c r="C357" i="10"/>
  <c r="C356" i="10"/>
  <c r="C358" i="10"/>
  <c r="E357" i="10"/>
  <c r="E358" i="10"/>
  <c r="H102" i="9"/>
  <c r="J102" i="9" s="1"/>
  <c r="M102" i="9"/>
  <c r="I70" i="12"/>
  <c r="I70" i="10"/>
  <c r="D103" i="9"/>
  <c r="B104" i="9"/>
  <c r="H14" i="10" l="1"/>
  <c r="K104" i="9"/>
  <c r="A152" i="13"/>
  <c r="J14" i="10"/>
  <c r="I15" i="10"/>
  <c r="H15" i="10"/>
  <c r="K14" i="10"/>
  <c r="H103" i="9"/>
  <c r="J103" i="9" s="1"/>
  <c r="M103" i="9"/>
  <c r="C104" i="9"/>
  <c r="B105" i="9"/>
  <c r="D104" i="9"/>
  <c r="K105" i="9" l="1"/>
  <c r="A153" i="13"/>
  <c r="H104" i="9"/>
  <c r="J104" i="9" s="1"/>
  <c r="M104" i="9"/>
  <c r="B106" i="9"/>
  <c r="D105" i="9"/>
  <c r="C105" i="9"/>
  <c r="B107" i="9" l="1"/>
  <c r="A154" i="13"/>
  <c r="H105" i="9"/>
  <c r="J105" i="9" s="1"/>
  <c r="M105" i="9"/>
  <c r="G105" i="9"/>
  <c r="I105" i="9" s="1"/>
  <c r="L105" i="9"/>
  <c r="C106" i="9"/>
  <c r="K106" i="9"/>
  <c r="D106" i="9"/>
  <c r="C107" i="9" l="1"/>
  <c r="G108" i="9" s="1"/>
  <c r="B392" i="9"/>
  <c r="B393" i="9" s="1"/>
  <c r="D107" i="9"/>
  <c r="K107" i="9"/>
  <c r="K108" i="9" s="1"/>
  <c r="A155" i="13"/>
  <c r="H106" i="9"/>
  <c r="J106" i="9" s="1"/>
  <c r="M106" i="9"/>
  <c r="G106" i="9"/>
  <c r="I106" i="9" s="1"/>
  <c r="L106" i="9"/>
  <c r="C108" i="9" l="1"/>
  <c r="G107" i="9"/>
  <c r="I107" i="9" s="1"/>
  <c r="L107" i="9"/>
  <c r="C414" i="9"/>
  <c r="H107" i="9"/>
  <c r="J107" i="9" s="1"/>
  <c r="M107" i="9"/>
  <c r="L108" i="9"/>
  <c r="I108" i="9"/>
  <c r="B415" i="9"/>
  <c r="B414" i="9"/>
  <c r="B413" i="9"/>
  <c r="D404" i="9"/>
  <c r="B404" i="9"/>
  <c r="D403" i="9"/>
  <c r="D402" i="9"/>
  <c r="B403" i="9"/>
  <c r="B402" i="9"/>
  <c r="C413" i="9" l="1"/>
  <c r="C415" i="9"/>
  <c r="H15" i="9"/>
  <c r="H14" i="9"/>
  <c r="J14" i="9"/>
  <c r="I15" i="9" l="1"/>
  <c r="C79" i="9" l="1"/>
  <c r="G79" i="9" s="1"/>
  <c r="I79" i="9" s="1"/>
  <c r="C80" i="9"/>
  <c r="D69" i="12"/>
  <c r="C100" i="9"/>
  <c r="D99" i="9"/>
  <c r="D98" i="9"/>
  <c r="M98" i="9" s="1"/>
  <c r="D87" i="10"/>
  <c r="D86" i="10"/>
  <c r="M86" i="10" s="1"/>
  <c r="E79" i="9" l="1"/>
  <c r="E80" i="9" s="1"/>
  <c r="E81" i="9" s="1"/>
  <c r="E82" i="9" s="1"/>
  <c r="E83" i="9" s="1"/>
  <c r="E84" i="9" s="1"/>
  <c r="E85" i="9" s="1"/>
  <c r="E86" i="9" s="1"/>
  <c r="E87" i="9" s="1"/>
  <c r="E88" i="9" s="1"/>
  <c r="E89" i="9" s="1"/>
  <c r="E90" i="9" s="1"/>
  <c r="E91" i="9" s="1"/>
  <c r="E92" i="9" s="1"/>
  <c r="E93" i="9" s="1"/>
  <c r="E94" i="9" s="1"/>
  <c r="E95" i="9" s="1"/>
  <c r="E96" i="9" s="1"/>
  <c r="E97" i="9" s="1"/>
  <c r="E98" i="9" s="1"/>
  <c r="E99" i="9" s="1"/>
  <c r="E100" i="9" s="1"/>
  <c r="E101" i="9" s="1"/>
  <c r="L79" i="9"/>
  <c r="L80" i="9"/>
  <c r="G81" i="9"/>
  <c r="I81" i="9" s="1"/>
  <c r="L81" i="9"/>
  <c r="G80" i="9"/>
  <c r="I80" i="9" s="1"/>
  <c r="M87" i="10"/>
  <c r="M88" i="10"/>
  <c r="M99" i="9"/>
  <c r="M100" i="9"/>
  <c r="G101" i="9"/>
  <c r="I101" i="9" s="1"/>
  <c r="L100" i="9"/>
  <c r="L101" i="9"/>
  <c r="G100" i="9"/>
  <c r="H99" i="9"/>
  <c r="J99" i="9" s="1"/>
  <c r="H100" i="9"/>
  <c r="J100" i="9" s="1"/>
  <c r="H98" i="9"/>
  <c r="H88" i="10"/>
  <c r="J88" i="10" s="1"/>
  <c r="H87" i="10"/>
  <c r="J87" i="10" s="1"/>
  <c r="H86" i="10"/>
  <c r="J86" i="10" l="1"/>
  <c r="J98" i="9"/>
  <c r="I100" i="9"/>
  <c r="B159" i="3" l="1"/>
  <c r="D159" i="3"/>
  <c r="C159" i="3"/>
  <c r="E105" i="1" l="1"/>
  <c r="F105" i="1" l="1"/>
  <c r="G106" i="1"/>
  <c r="H106" i="1"/>
  <c r="J105" i="1"/>
  <c r="K105" i="1" s="1"/>
  <c r="H105" i="1"/>
  <c r="G105" i="1"/>
  <c r="F106" i="1"/>
  <c r="L105" i="1"/>
  <c r="C89" i="10"/>
  <c r="D354" i="10" s="1"/>
  <c r="C77" i="12"/>
  <c r="D262" i="12" s="1"/>
  <c r="E411" i="9" l="1"/>
  <c r="F206" i="1"/>
  <c r="F208" i="1" s="1"/>
  <c r="L31" i="3" s="1"/>
  <c r="D71" i="9"/>
  <c r="F365" i="10"/>
  <c r="F144" i="1"/>
  <c r="D73" i="9"/>
  <c r="H74" i="9" s="1"/>
  <c r="J74" i="9" s="1"/>
  <c r="D72" i="9"/>
  <c r="D71" i="10"/>
  <c r="D70" i="10"/>
  <c r="I105" i="1"/>
  <c r="D156" i="3" s="1"/>
  <c r="D77" i="10"/>
  <c r="D72" i="10"/>
  <c r="D74" i="10"/>
  <c r="D73" i="10"/>
  <c r="D76" i="10"/>
  <c r="D75" i="10"/>
  <c r="D357" i="10"/>
  <c r="D356" i="10"/>
  <c r="D358" i="10"/>
  <c r="D79" i="10"/>
  <c r="D78" i="10"/>
  <c r="D81" i="10"/>
  <c r="D80" i="10"/>
  <c r="D96" i="9"/>
  <c r="M97" i="9" s="1"/>
  <c r="D95" i="9"/>
  <c r="I106" i="1"/>
  <c r="E156" i="3" s="1"/>
  <c r="C102" i="9"/>
  <c r="G102" i="9" s="1"/>
  <c r="I102" i="9" s="1"/>
  <c r="D82" i="10"/>
  <c r="M105" i="1"/>
  <c r="D157" i="3" s="1"/>
  <c r="G77" i="12"/>
  <c r="G78" i="12"/>
  <c r="I78" i="12" s="1"/>
  <c r="L78" i="12"/>
  <c r="L77" i="12"/>
  <c r="E77" i="12"/>
  <c r="E78" i="12" s="1"/>
  <c r="E79" i="12" s="1"/>
  <c r="E80" i="12" s="1"/>
  <c r="L90" i="10"/>
  <c r="L89" i="10"/>
  <c r="G90" i="10"/>
  <c r="I90" i="10" s="1"/>
  <c r="G89" i="10"/>
  <c r="E89" i="10"/>
  <c r="E90" i="10" s="1"/>
  <c r="E91" i="10" s="1"/>
  <c r="E92" i="10" s="1"/>
  <c r="E93" i="10" s="1"/>
  <c r="E110" i="1"/>
  <c r="F167" i="1"/>
  <c r="C103" i="9"/>
  <c r="G145" i="1" l="1"/>
  <c r="I144" i="1"/>
  <c r="H144" i="1"/>
  <c r="G144" i="1"/>
  <c r="I145" i="1"/>
  <c r="H145" i="1"/>
  <c r="F367" i="10"/>
  <c r="F368" i="10"/>
  <c r="F369" i="10"/>
  <c r="H108" i="9"/>
  <c r="J108" i="9" s="1"/>
  <c r="D108" i="9"/>
  <c r="M108" i="9"/>
  <c r="M74" i="9"/>
  <c r="H73" i="9"/>
  <c r="J73" i="9" s="1"/>
  <c r="M73" i="9"/>
  <c r="M72" i="9"/>
  <c r="H72" i="9"/>
  <c r="J72" i="9" s="1"/>
  <c r="F72" i="9"/>
  <c r="F73" i="9" s="1"/>
  <c r="F74" i="9" s="1"/>
  <c r="F75" i="9" s="1"/>
  <c r="F76" i="9" s="1"/>
  <c r="F77" i="9" s="1"/>
  <c r="F78" i="9" s="1"/>
  <c r="I14" i="10"/>
  <c r="H71" i="10"/>
  <c r="J71" i="10" s="1"/>
  <c r="M71" i="10"/>
  <c r="M70" i="10"/>
  <c r="F70" i="10"/>
  <c r="F71" i="10" s="1"/>
  <c r="F72" i="10" s="1"/>
  <c r="F73" i="10" s="1"/>
  <c r="F74" i="10" s="1"/>
  <c r="F75" i="10" s="1"/>
  <c r="F76" i="10" s="1"/>
  <c r="F77" i="10" s="1"/>
  <c r="F78" i="10" s="1"/>
  <c r="F79" i="10" s="1"/>
  <c r="F80" i="10" s="1"/>
  <c r="F81" i="10" s="1"/>
  <c r="F82" i="10" s="1"/>
  <c r="F83" i="10" s="1"/>
  <c r="F84" i="10" s="1"/>
  <c r="F85" i="10" s="1"/>
  <c r="F86" i="10" s="1"/>
  <c r="F87" i="10" s="1"/>
  <c r="F88" i="10" s="1"/>
  <c r="F89" i="10" s="1"/>
  <c r="F90" i="10" s="1"/>
  <c r="F91" i="10" s="1"/>
  <c r="F92" i="10" s="1"/>
  <c r="F93" i="10" s="1"/>
  <c r="H70" i="10"/>
  <c r="J70" i="10" s="1"/>
  <c r="H77" i="10"/>
  <c r="J77" i="10" s="1"/>
  <c r="M72" i="10"/>
  <c r="H72" i="10"/>
  <c r="J72" i="10" s="1"/>
  <c r="H74" i="10"/>
  <c r="J74" i="10" s="1"/>
  <c r="M74" i="10"/>
  <c r="M73" i="10"/>
  <c r="H73" i="10"/>
  <c r="J73" i="10" s="1"/>
  <c r="M77" i="10"/>
  <c r="H76" i="10"/>
  <c r="J76" i="10" s="1"/>
  <c r="M76" i="10"/>
  <c r="H75" i="10"/>
  <c r="J75" i="10" s="1"/>
  <c r="M75" i="10"/>
  <c r="M79" i="10"/>
  <c r="C404" i="9"/>
  <c r="C403" i="9"/>
  <c r="C402" i="9"/>
  <c r="H79" i="10"/>
  <c r="J79" i="10" s="1"/>
  <c r="H78" i="10"/>
  <c r="J78" i="10" s="1"/>
  <c r="M78" i="10"/>
  <c r="E365" i="10"/>
  <c r="E368" i="10" s="1"/>
  <c r="H81" i="10"/>
  <c r="J81" i="10" s="1"/>
  <c r="M81" i="10"/>
  <c r="M80" i="10"/>
  <c r="H80" i="10"/>
  <c r="J80" i="10" s="1"/>
  <c r="H97" i="9"/>
  <c r="J97" i="9" s="1"/>
  <c r="H96" i="9"/>
  <c r="J96" i="9" s="1"/>
  <c r="M96" i="9"/>
  <c r="M95" i="9"/>
  <c r="H95" i="9"/>
  <c r="J95" i="9" s="1"/>
  <c r="H82" i="10"/>
  <c r="H83" i="10"/>
  <c r="J83" i="10" s="1"/>
  <c r="M83" i="10"/>
  <c r="M82" i="10"/>
  <c r="E102" i="9"/>
  <c r="E103" i="9" s="1"/>
  <c r="E104" i="9" s="1"/>
  <c r="E105" i="9" s="1"/>
  <c r="E106" i="9" s="1"/>
  <c r="E107" i="9" s="1"/>
  <c r="A269" i="9" s="1"/>
  <c r="A270" i="9" s="1"/>
  <c r="L102" i="9"/>
  <c r="E94" i="10"/>
  <c r="D235" i="10"/>
  <c r="I89" i="10"/>
  <c r="G233" i="10"/>
  <c r="G232" i="10"/>
  <c r="I77" i="12"/>
  <c r="G103" i="9"/>
  <c r="L103" i="9"/>
  <c r="G104" i="9"/>
  <c r="I104" i="9" s="1"/>
  <c r="L104" i="9"/>
  <c r="G168" i="1"/>
  <c r="G167" i="1"/>
  <c r="H167" i="1"/>
  <c r="I168" i="1"/>
  <c r="H168" i="1"/>
  <c r="I167" i="1"/>
  <c r="F110" i="1"/>
  <c r="J110" i="1"/>
  <c r="K110" i="1" s="1"/>
  <c r="L110" i="1"/>
  <c r="H110" i="1"/>
  <c r="G110" i="1"/>
  <c r="K15" i="10" l="1"/>
  <c r="J144" i="1"/>
  <c r="J145" i="1"/>
  <c r="F190" i="1" s="1"/>
  <c r="I14" i="9"/>
  <c r="E367" i="10"/>
  <c r="E369" i="10"/>
  <c r="D413" i="9"/>
  <c r="D414" i="9"/>
  <c r="D415" i="9"/>
  <c r="F94" i="10"/>
  <c r="E235" i="10"/>
  <c r="J82" i="10"/>
  <c r="H233" i="10"/>
  <c r="H232" i="10"/>
  <c r="M110" i="1"/>
  <c r="I157" i="3" s="1"/>
  <c r="J167" i="1"/>
  <c r="E108" i="9"/>
  <c r="I110" i="1"/>
  <c r="I156" i="3" s="1"/>
  <c r="G234" i="10"/>
  <c r="I232" i="10"/>
  <c r="I233" i="10"/>
  <c r="J168" i="1"/>
  <c r="I103" i="9"/>
  <c r="G263" i="9"/>
  <c r="G264" i="9"/>
  <c r="D188" i="1" l="1"/>
  <c r="E188" i="1"/>
  <c r="D190" i="1"/>
  <c r="D67" i="3" s="1"/>
  <c r="E190" i="1"/>
  <c r="E67" i="3" s="1"/>
  <c r="B188" i="1"/>
  <c r="B65" i="3" s="1"/>
  <c r="C188" i="1"/>
  <c r="C65" i="3" s="1"/>
  <c r="C66" i="3"/>
  <c r="C190" i="1"/>
  <c r="C67" i="3" s="1"/>
  <c r="M189" i="1"/>
  <c r="M66" i="3" s="1"/>
  <c r="B190" i="1"/>
  <c r="B67" i="3" s="1"/>
  <c r="M67" i="3"/>
  <c r="B66" i="3"/>
  <c r="K67" i="3"/>
  <c r="L67" i="3"/>
  <c r="I67" i="3"/>
  <c r="J67" i="3"/>
  <c r="G67" i="3"/>
  <c r="H67" i="3"/>
  <c r="D65" i="3"/>
  <c r="E65" i="3"/>
  <c r="F67" i="3"/>
  <c r="J15" i="10"/>
  <c r="J15" i="9"/>
  <c r="H234" i="10"/>
  <c r="J232" i="10"/>
  <c r="J233" i="10"/>
  <c r="I234" i="10"/>
  <c r="G265" i="9"/>
  <c r="I263" i="9"/>
  <c r="I264" i="9"/>
  <c r="J234" i="10" l="1"/>
  <c r="I265" i="9"/>
  <c r="C81" i="12" l="1"/>
  <c r="F172" i="1"/>
  <c r="E111" i="1"/>
  <c r="D206" i="1"/>
  <c r="D208" i="1" s="1"/>
  <c r="J31" i="3" s="1"/>
  <c r="D79" i="9" l="1"/>
  <c r="H79" i="9" s="1"/>
  <c r="J79" i="9" s="1"/>
  <c r="F273" i="12"/>
  <c r="D81" i="9"/>
  <c r="D80" i="9"/>
  <c r="D83" i="9"/>
  <c r="D82" i="9"/>
  <c r="D85" i="9"/>
  <c r="D84" i="9"/>
  <c r="D89" i="9"/>
  <c r="H89" i="9" s="1"/>
  <c r="J89" i="9" s="1"/>
  <c r="D86" i="9"/>
  <c r="D91" i="9"/>
  <c r="D90" i="9"/>
  <c r="D93" i="9"/>
  <c r="D92" i="9"/>
  <c r="D71" i="12"/>
  <c r="D70" i="12"/>
  <c r="D73" i="12"/>
  <c r="D72" i="12"/>
  <c r="D75" i="12"/>
  <c r="D74" i="12"/>
  <c r="D77" i="12"/>
  <c r="D76" i="12"/>
  <c r="G82" i="12"/>
  <c r="C262" i="12"/>
  <c r="D79" i="12"/>
  <c r="D78" i="12"/>
  <c r="C82" i="12"/>
  <c r="E81" i="12"/>
  <c r="E82" i="12" s="1"/>
  <c r="F263" i="12"/>
  <c r="L81" i="12"/>
  <c r="L82" i="12"/>
  <c r="D263" i="12"/>
  <c r="D264" i="12" s="1"/>
  <c r="C263" i="12"/>
  <c r="G81" i="12"/>
  <c r="G88" i="12" s="1"/>
  <c r="I82" i="12"/>
  <c r="E263" i="12"/>
  <c r="E264" i="12" s="1"/>
  <c r="G112" i="1"/>
  <c r="H112" i="1"/>
  <c r="F112" i="1"/>
  <c r="L111" i="1"/>
  <c r="J111" i="1"/>
  <c r="K111" i="1" s="1"/>
  <c r="F111" i="1"/>
  <c r="G111" i="1"/>
  <c r="H111" i="1"/>
  <c r="I172" i="1"/>
  <c r="H172" i="1"/>
  <c r="G172" i="1"/>
  <c r="I173" i="1"/>
  <c r="G173" i="1"/>
  <c r="H173" i="1"/>
  <c r="D81" i="12"/>
  <c r="D80" i="12"/>
  <c r="F79" i="9" l="1"/>
  <c r="F80" i="9" s="1"/>
  <c r="F81" i="9" s="1"/>
  <c r="F82" i="9" s="1"/>
  <c r="F83" i="9" s="1"/>
  <c r="F84" i="9" s="1"/>
  <c r="F85" i="9" s="1"/>
  <c r="F86" i="9" s="1"/>
  <c r="F87" i="9" s="1"/>
  <c r="F88" i="9" s="1"/>
  <c r="F89" i="9" s="1"/>
  <c r="F90" i="9" s="1"/>
  <c r="F91" i="9" s="1"/>
  <c r="F92" i="9" s="1"/>
  <c r="F93" i="9" s="1"/>
  <c r="F94" i="9" s="1"/>
  <c r="F95" i="9" s="1"/>
  <c r="F96" i="9" s="1"/>
  <c r="F97" i="9" s="1"/>
  <c r="F98" i="9" s="1"/>
  <c r="F99" i="9" s="1"/>
  <c r="F100" i="9" s="1"/>
  <c r="F101" i="9" s="1"/>
  <c r="F102" i="9" s="1"/>
  <c r="F103" i="9" s="1"/>
  <c r="F104" i="9" s="1"/>
  <c r="F105" i="9" s="1"/>
  <c r="F106" i="9" s="1"/>
  <c r="F107" i="9" s="1"/>
  <c r="M79" i="9"/>
  <c r="M81" i="9"/>
  <c r="F274" i="12"/>
  <c r="F276" i="12" s="1"/>
  <c r="H81" i="9"/>
  <c r="J81" i="9" s="1"/>
  <c r="H80" i="9"/>
  <c r="J80" i="9" s="1"/>
  <c r="M80" i="9"/>
  <c r="M83" i="9"/>
  <c r="H83" i="9"/>
  <c r="J83" i="9" s="1"/>
  <c r="H82" i="9"/>
  <c r="J82" i="9" s="1"/>
  <c r="M82" i="9"/>
  <c r="H85" i="9"/>
  <c r="J85" i="9" s="1"/>
  <c r="M85" i="9"/>
  <c r="M84" i="9"/>
  <c r="H84" i="9"/>
  <c r="J84" i="9" s="1"/>
  <c r="M89" i="9"/>
  <c r="H87" i="9"/>
  <c r="J87" i="9" s="1"/>
  <c r="M87" i="9"/>
  <c r="H86" i="9"/>
  <c r="J86" i="9" s="1"/>
  <c r="M86" i="9"/>
  <c r="H91" i="9"/>
  <c r="J91" i="9" s="1"/>
  <c r="M91" i="9"/>
  <c r="M90" i="9"/>
  <c r="H90" i="9"/>
  <c r="J90" i="9" s="1"/>
  <c r="H93" i="9"/>
  <c r="J93" i="9" s="1"/>
  <c r="M93" i="9"/>
  <c r="M94" i="9"/>
  <c r="H94" i="9"/>
  <c r="J94" i="9" s="1"/>
  <c r="M92" i="9"/>
  <c r="H92" i="9"/>
  <c r="J92" i="9" s="1"/>
  <c r="M111" i="1"/>
  <c r="J157" i="3" s="1"/>
  <c r="F266" i="12"/>
  <c r="F265" i="12"/>
  <c r="F264" i="12"/>
  <c r="H71" i="12"/>
  <c r="J71" i="12" s="1"/>
  <c r="M71" i="12"/>
  <c r="H70" i="12"/>
  <c r="J70" i="12" s="1"/>
  <c r="F70" i="12"/>
  <c r="F71" i="12" s="1"/>
  <c r="F72" i="12" s="1"/>
  <c r="F73" i="12" s="1"/>
  <c r="F74" i="12" s="1"/>
  <c r="F75" i="12" s="1"/>
  <c r="F76" i="12" s="1"/>
  <c r="F77" i="12" s="1"/>
  <c r="F78" i="12" s="1"/>
  <c r="F79" i="12" s="1"/>
  <c r="F80" i="12" s="1"/>
  <c r="F81" i="12" s="1"/>
  <c r="F82" i="12" s="1"/>
  <c r="M70" i="12"/>
  <c r="M73" i="12"/>
  <c r="H73" i="12"/>
  <c r="J73" i="12" s="1"/>
  <c r="M72" i="12"/>
  <c r="H72" i="12"/>
  <c r="J72" i="12" s="1"/>
  <c r="M75" i="12"/>
  <c r="H75" i="12"/>
  <c r="J75" i="12" s="1"/>
  <c r="M74" i="12"/>
  <c r="H74" i="12"/>
  <c r="J74" i="12" s="1"/>
  <c r="J173" i="1"/>
  <c r="I111" i="1"/>
  <c r="J156" i="3" s="1"/>
  <c r="E86" i="12"/>
  <c r="H77" i="12"/>
  <c r="J77" i="12" s="1"/>
  <c r="M77" i="12"/>
  <c r="M76" i="12"/>
  <c r="H76" i="12"/>
  <c r="J76" i="12" s="1"/>
  <c r="J172" i="1"/>
  <c r="C264" i="12"/>
  <c r="I112" i="1"/>
  <c r="K156" i="3" s="1"/>
  <c r="E266" i="12"/>
  <c r="J14" i="12" s="1"/>
  <c r="I81" i="12"/>
  <c r="I88" i="12" s="1"/>
  <c r="G87" i="12"/>
  <c r="G89" i="12" s="1"/>
  <c r="E265" i="12"/>
  <c r="C265" i="12"/>
  <c r="C274" i="12"/>
  <c r="M81" i="12"/>
  <c r="M79" i="12"/>
  <c r="C266" i="12"/>
  <c r="D266" i="12"/>
  <c r="I14" i="12" s="1"/>
  <c r="D265" i="12"/>
  <c r="H79" i="12"/>
  <c r="J79" i="12" s="1"/>
  <c r="D273" i="12"/>
  <c r="H78" i="12"/>
  <c r="J78" i="12" s="1"/>
  <c r="M78" i="12"/>
  <c r="H81" i="12"/>
  <c r="J81" i="12" s="1"/>
  <c r="H82" i="12"/>
  <c r="D82" i="12"/>
  <c r="M82" i="12"/>
  <c r="J82" i="12"/>
  <c r="D274" i="12"/>
  <c r="E274" i="12"/>
  <c r="E276" i="12" s="1"/>
  <c r="C273" i="12"/>
  <c r="M80" i="12"/>
  <c r="H80" i="12"/>
  <c r="J80" i="12" s="1"/>
  <c r="I188" i="1" l="1"/>
  <c r="J188" i="1"/>
  <c r="J65" i="3" s="1"/>
  <c r="G188" i="1"/>
  <c r="G65" i="3" s="1"/>
  <c r="H188" i="1"/>
  <c r="H65" i="3" s="1"/>
  <c r="F275" i="12"/>
  <c r="K15" i="12" s="1"/>
  <c r="F188" i="1"/>
  <c r="F65" i="3" s="1"/>
  <c r="M65" i="3"/>
  <c r="K65" i="3"/>
  <c r="L65" i="3"/>
  <c r="F277" i="12"/>
  <c r="I65" i="3"/>
  <c r="K14" i="12"/>
  <c r="B187" i="1"/>
  <c r="B64" i="3" s="1"/>
  <c r="F108" i="9"/>
  <c r="B269" i="9"/>
  <c r="B270" i="9" s="1"/>
  <c r="E402" i="9" s="1"/>
  <c r="H264" i="9"/>
  <c r="H263" i="9"/>
  <c r="H14" i="12"/>
  <c r="J264" i="9"/>
  <c r="J263" i="9"/>
  <c r="I87" i="12"/>
  <c r="I89" i="12" s="1"/>
  <c r="C276" i="12"/>
  <c r="D275" i="12"/>
  <c r="H88" i="12"/>
  <c r="H87" i="12"/>
  <c r="E275" i="12"/>
  <c r="D277" i="12"/>
  <c r="E277" i="12"/>
  <c r="D276" i="12"/>
  <c r="C277" i="12"/>
  <c r="C275" i="12"/>
  <c r="F86" i="12"/>
  <c r="J88" i="12"/>
  <c r="J87" i="12"/>
  <c r="I15" i="12" l="1"/>
  <c r="J15" i="12"/>
  <c r="H265" i="9"/>
  <c r="J265" i="9"/>
  <c r="E403" i="9"/>
  <c r="E404" i="9"/>
  <c r="K14" i="9" s="1"/>
  <c r="D193" i="1"/>
  <c r="D192" i="1"/>
  <c r="H15" i="12"/>
  <c r="H89" i="12"/>
  <c r="J89" i="12"/>
  <c r="E415" i="9" l="1"/>
  <c r="E413" i="9"/>
  <c r="E414" i="9"/>
  <c r="K15" i="9" l="1"/>
</calcChain>
</file>

<file path=xl/sharedStrings.xml><?xml version="1.0" encoding="utf-8"?>
<sst xmlns="http://schemas.openxmlformats.org/spreadsheetml/2006/main" count="2653" uniqueCount="362">
  <si>
    <t>MULTIAR BE-1</t>
  </si>
  <si>
    <t>MULTIAR BF-1</t>
  </si>
  <si>
    <t>MULTIAR BM-1</t>
  </si>
  <si>
    <t>MULTIRE BE-1</t>
  </si>
  <si>
    <t>MULTIRE BF-1</t>
  </si>
  <si>
    <t>MULTIRE BM-1</t>
  </si>
  <si>
    <t>MULTISI BE-1</t>
  </si>
  <si>
    <t>MULTISI BE-2</t>
  </si>
  <si>
    <t>MULTISI BF-1</t>
  </si>
  <si>
    <t>MULTISI BF-2</t>
  </si>
  <si>
    <t>MULTISI BM-1</t>
  </si>
  <si>
    <t>MULTISI BM-2</t>
  </si>
  <si>
    <t>MULTIUS BE-1</t>
  </si>
  <si>
    <t>MULTIUS BF-1</t>
  </si>
  <si>
    <t>MULTIUS BM-1</t>
  </si>
  <si>
    <t>MULTINS BE-1</t>
  </si>
  <si>
    <t>IPC</t>
  </si>
  <si>
    <t>EURO SPOT 48</t>
  </si>
  <si>
    <t>USD SPOT 48</t>
  </si>
  <si>
    <t>TEMGBIA BE2</t>
  </si>
  <si>
    <t>TEMGBIA BF2</t>
  </si>
  <si>
    <t>TEMGBIA BM2</t>
  </si>
  <si>
    <t>FT-ASIA B2</t>
  </si>
  <si>
    <t>Deuda</t>
  </si>
  <si>
    <t>Acciones Asiáticas</t>
  </si>
  <si>
    <t>Fondo</t>
  </si>
  <si>
    <t>Mercado</t>
  </si>
  <si>
    <t>Persona</t>
  </si>
  <si>
    <t>Mínimo Inversión</t>
  </si>
  <si>
    <t>Horizonte</t>
  </si>
  <si>
    <t>Salidas</t>
  </si>
  <si>
    <t>Liquidación</t>
  </si>
  <si>
    <t>Horario Cierre</t>
  </si>
  <si>
    <t>Calificación</t>
  </si>
  <si>
    <t>Días Transcurridos</t>
  </si>
  <si>
    <t>Año</t>
  </si>
  <si>
    <t>Horario Cierre. Captura de operaciones concluida antes de las:</t>
  </si>
  <si>
    <t>GRÁFICAS DE RENDIMIENTOS</t>
  </si>
  <si>
    <t>Al cierre del</t>
  </si>
  <si>
    <t>Invierte en</t>
  </si>
  <si>
    <t>Solamente Valores Gubernamentales</t>
  </si>
  <si>
    <t>Valores denominados en USD</t>
  </si>
  <si>
    <t>Acciones del Índice de Precios y Cotizaciones</t>
  </si>
  <si>
    <t>Deuda Soberana Global</t>
  </si>
  <si>
    <t>Solamente Valores Gubernamentales y Bancarios</t>
  </si>
  <si>
    <t>A</t>
  </si>
  <si>
    <t>FRANUSA B-3</t>
  </si>
  <si>
    <t>Acciones USA</t>
  </si>
  <si>
    <t>Valores de tasa real</t>
  </si>
  <si>
    <t>ENE</t>
  </si>
  <si>
    <t>FEB</t>
  </si>
  <si>
    <t>MAR</t>
  </si>
  <si>
    <t>ABR</t>
  </si>
  <si>
    <t>MAY</t>
  </si>
  <si>
    <t>JUN</t>
  </si>
  <si>
    <t>JUL</t>
  </si>
  <si>
    <t>AGO</t>
  </si>
  <si>
    <t>SEP</t>
  </si>
  <si>
    <t>OCT</t>
  </si>
  <si>
    <t>NOV</t>
  </si>
  <si>
    <t>DIC</t>
  </si>
  <si>
    <t>UDI</t>
  </si>
  <si>
    <t>INPUT</t>
  </si>
  <si>
    <t>OUTPUT</t>
  </si>
  <si>
    <t>De</t>
  </si>
  <si>
    <t>Acumulado</t>
  </si>
  <si>
    <t>AÑO</t>
  </si>
  <si>
    <t>Rendimiento mensual mínimo observado</t>
  </si>
  <si>
    <t>Rendimiento mensual máximo observado</t>
  </si>
  <si>
    <t>Mes</t>
  </si>
  <si>
    <t>Es el tipo de cambio pesos por dólar (USD) spot 48 horas</t>
  </si>
  <si>
    <t>Es un benchmark de deuda, es el precio de la UDI publicado por Banxico.</t>
  </si>
  <si>
    <t>Es el tipo de cambio pesos por euro spot 48 horas.</t>
  </si>
  <si>
    <t>Es el ïndice de Precios y Cotizaciones de la Bolsa Mexicana de Valores</t>
  </si>
  <si>
    <t>Es un benchmark para el mercado accionario estadounidense.</t>
  </si>
  <si>
    <t>Es el promedio de las subastas de CETES a 28 días menos ISR.</t>
  </si>
  <si>
    <t>Cetes 28 Neto</t>
  </si>
  <si>
    <t>Cetes 28 Bruto</t>
  </si>
  <si>
    <t>Es el promedio de las subastas de CETES a 28 días sin descontar ISR.</t>
  </si>
  <si>
    <t>Renta variable</t>
  </si>
  <si>
    <t>Tipo</t>
  </si>
  <si>
    <t>No aplica</t>
  </si>
  <si>
    <t>INPC es el ïndice nacional de Precios al Consumidor publicado por INEGI y BANXICO</t>
  </si>
  <si>
    <t>Fórmulas para el cálculo de rendimientos en Fondos de Inversión</t>
  </si>
  <si>
    <t>MULTIBA BE-1</t>
  </si>
  <si>
    <t>MULTIBA BE-2</t>
  </si>
  <si>
    <t>MULTIBA BF-H</t>
  </si>
  <si>
    <t>MULTIBA BF-T</t>
  </si>
  <si>
    <t>MULTIBA BF-1</t>
  </si>
  <si>
    <t>MULTIBA BF-2</t>
  </si>
  <si>
    <t>MULTIBA BF-3</t>
  </si>
  <si>
    <t>MULTIBA BM-T</t>
  </si>
  <si>
    <t>MULTIBA BM-1</t>
  </si>
  <si>
    <t>MULTIBA BM-2</t>
  </si>
  <si>
    <t>MULTIBA BM-3</t>
  </si>
  <si>
    <t>MULTIFA BE-1</t>
  </si>
  <si>
    <t>MULTIFA BE-2</t>
  </si>
  <si>
    <t>MULTIFA BF-H</t>
  </si>
  <si>
    <t>MULTIFA BF-T</t>
  </si>
  <si>
    <t>MULTIFA BF-1</t>
  </si>
  <si>
    <t>MULTIFA BF-2</t>
  </si>
  <si>
    <t>MULTIFA BF-3</t>
  </si>
  <si>
    <t>MULTIFA BM-T</t>
  </si>
  <si>
    <t>MULTIFA BM-1</t>
  </si>
  <si>
    <t>MULTIFA BM-2</t>
  </si>
  <si>
    <t>MULTIFA BM-3</t>
  </si>
  <si>
    <t>Fondos de Deuda y de Renta Variable, Nacionales e Internacionales</t>
  </si>
  <si>
    <t>Tipo de Rendimiento:</t>
  </si>
  <si>
    <t>FT-REAL BE3</t>
  </si>
  <si>
    <t>FT-REAL BF3</t>
  </si>
  <si>
    <t>FT-REAL BM3</t>
  </si>
  <si>
    <t>FRANOPR B-3</t>
  </si>
  <si>
    <t>S&amp;P500 en Pesos</t>
  </si>
  <si>
    <t>Es un benchmark para el mercado accionario estadounidense, aplicando el tipo de cambio</t>
  </si>
  <si>
    <t>MULTIED BE-1</t>
  </si>
  <si>
    <t>MULTIED BE-2</t>
  </si>
  <si>
    <t>MULTIED BF-H</t>
  </si>
  <si>
    <t>MULTIED BF-T</t>
  </si>
  <si>
    <t>MULTIED BF-1</t>
  </si>
  <si>
    <t>MULTIED BF-2</t>
  </si>
  <si>
    <t>MULTIED BF-3</t>
  </si>
  <si>
    <t>MULTIED BM-T</t>
  </si>
  <si>
    <t>MULTIED BM-1</t>
  </si>
  <si>
    <t>MULTIED BM-2</t>
  </si>
  <si>
    <t>MULTIED BM-3</t>
  </si>
  <si>
    <t>Fondos de Deuda y de Renta Variable en USD</t>
  </si>
  <si>
    <t>Adquirentes</t>
  </si>
  <si>
    <t>Inversión mínima</t>
  </si>
  <si>
    <t>MVJER BF-1</t>
  </si>
  <si>
    <t>MVJER BF-7</t>
  </si>
  <si>
    <t>MVJER BF-14</t>
  </si>
  <si>
    <t>MVJER BF-28</t>
  </si>
  <si>
    <t>MULTIPC BF-1</t>
  </si>
  <si>
    <t>Categoría</t>
  </si>
  <si>
    <t>MULTIEQ BF-1</t>
  </si>
  <si>
    <t>MULTIEQ BF-H</t>
  </si>
  <si>
    <t>MULTIEQ BF-T</t>
  </si>
  <si>
    <t>MULTIEQ BM-1</t>
  </si>
  <si>
    <t>MULTIEQ BM-T</t>
  </si>
  <si>
    <t>MULTIEQ BF-F</t>
  </si>
  <si>
    <t>MULTIEQ BE-1</t>
  </si>
  <si>
    <t>MULTIPC BE-1</t>
  </si>
  <si>
    <t>MULTIPC BM-1</t>
  </si>
  <si>
    <t>MULTIPC BF-H</t>
  </si>
  <si>
    <t>MULTIPC BF-T</t>
  </si>
  <si>
    <t>MULTIPC BM-T</t>
  </si>
  <si>
    <t>MVJER BF-H</t>
  </si>
  <si>
    <t>MVJER BF-T</t>
  </si>
  <si>
    <t>MVJER BM-1</t>
  </si>
  <si>
    <t>MVJER BM-T</t>
  </si>
  <si>
    <t>MULTIAR BM-T</t>
  </si>
  <si>
    <t>MULTIAR BF-H</t>
  </si>
  <si>
    <t>MULTIAR BF-T</t>
  </si>
  <si>
    <t>MULTIRE BF-H</t>
  </si>
  <si>
    <t>MULTIRE BF-T</t>
  </si>
  <si>
    <t>MULTIRE BM-T</t>
  </si>
  <si>
    <t>MULTISI BF-H</t>
  </si>
  <si>
    <t>MULTISI BF-T</t>
  </si>
  <si>
    <t>MULTISI BM-T</t>
  </si>
  <si>
    <t>MULTIUS BM-T</t>
  </si>
  <si>
    <t>MULTIUS BF-T</t>
  </si>
  <si>
    <t>MULTIUS BF-H</t>
  </si>
  <si>
    <t>MVJER BE-1</t>
  </si>
  <si>
    <t>Fondo 1</t>
  </si>
  <si>
    <t>Fondo 2</t>
  </si>
  <si>
    <t>MVJER BF-T28</t>
  </si>
  <si>
    <t>Valores Gubernamentales, Bancarios y Corporativos</t>
  </si>
  <si>
    <t>M</t>
  </si>
  <si>
    <t>M + 1M</t>
  </si>
  <si>
    <t>Tracking Date</t>
  </si>
  <si>
    <t>VALORES DE REFERENCIA</t>
  </si>
  <si>
    <t>Precios</t>
  </si>
  <si>
    <t>Valor Base 100</t>
  </si>
  <si>
    <t>Fecha</t>
  </si>
  <si>
    <t>PRLV a 28 días. Tasa Neta Ponderada</t>
  </si>
  <si>
    <t>PRLV de Ventanilla a 28 días. Tasa Neta</t>
  </si>
  <si>
    <t>PRLV a 28 días. Tasa Bruta Ponderada</t>
  </si>
  <si>
    <t>Es la tasa neta de Pagarés de Ventanilla con Rendimiento Liquidable al Vencimiento (PRLV) publicada por Banxico</t>
  </si>
  <si>
    <t>Es la tasa neta ponderada de Pagarés con Rendimiento Liquidable al Vencimiento (PRLV) publicada por Banxico</t>
  </si>
  <si>
    <t>Es la tasa bruta ponderada de Pagarés con Rendimiento Liquidable al Vencimiento (PRLV) publicada por Banxico</t>
  </si>
  <si>
    <t>Los rendimiento de pagarés con rendimiento liquidable al vencimiento se dan a conocer en fechas posteriores a la publicación de este reporte, por lo que en los meses para los que no se tienen datos, se repite el último dato conocido.</t>
  </si>
  <si>
    <t>Seleccione Fondo o Índice:</t>
  </si>
  <si>
    <t>Los rendimientos de pagarés con rendimiento liquidable al vencimiento se dan a conocer en fechas posteriores a la publicación de este reporte, por lo que en los meses para los que no se tienen datos, se repite el último dato conocido.</t>
  </si>
  <si>
    <t>COMPARATIVO DE DESEMPEÑO HISTÓRICO</t>
  </si>
  <si>
    <t>Monto Inicial</t>
  </si>
  <si>
    <t>Rendimientos Anualizados</t>
  </si>
  <si>
    <t>Rendimientos Efectivos</t>
  </si>
  <si>
    <t>Días</t>
  </si>
  <si>
    <t>TIIE 28 Neto</t>
  </si>
  <si>
    <t>TIIE 28 Bruto</t>
  </si>
  <si>
    <t>Es la tasa TIIE de 28 días</t>
  </si>
  <si>
    <t>Es la tasa TIIE de 28 días menos ISR</t>
  </si>
  <si>
    <t>Fuente: Elaboración propia con datos de COVAF y Banxico.</t>
  </si>
  <si>
    <t>Fuentes: Elaboración propia con datos de COVAF y Banco de México (Banxico)</t>
  </si>
  <si>
    <t>MULTIRE BE-2</t>
  </si>
  <si>
    <t>MULTIRE BM-2</t>
  </si>
  <si>
    <t>Promedio</t>
  </si>
  <si>
    <t>Desviación Estándar</t>
  </si>
  <si>
    <t>Eficiencia</t>
  </si>
  <si>
    <t>Inicial</t>
  </si>
  <si>
    <t>Final</t>
  </si>
  <si>
    <t>Fechas</t>
  </si>
  <si>
    <t>Precio</t>
  </si>
  <si>
    <t>Días del periodo</t>
  </si>
  <si>
    <t>Efectivo</t>
  </si>
  <si>
    <t>Anualizado</t>
  </si>
  <si>
    <t>I. Tasa Nominal</t>
  </si>
  <si>
    <t>Para calcular Tasa en Dólares</t>
  </si>
  <si>
    <t>II. Datos para cálculo de tasas especiales</t>
  </si>
  <si>
    <t>III. Tasa en Dólares</t>
  </si>
  <si>
    <t>NASDAQ 100 en Pesos</t>
  </si>
  <si>
    <t>Es un benchmark que refleja las 100 compañías más importantes del sector tecnoógico cotizadas en en el Nasdaq Stock Market, aplicando el tipo de cambio.</t>
  </si>
  <si>
    <t>Es un benchmark que refleja las 100 compañías más importantes del sector tecnoógico cotizadas en en el Nasdaq Stock Market.</t>
  </si>
  <si>
    <t>ETF's  y acciones del mercado accionario USA</t>
  </si>
  <si>
    <t>MVFANG+ BE-1</t>
  </si>
  <si>
    <t>MVFANG+ BF-1</t>
  </si>
  <si>
    <t>MVFANG+ BF-F</t>
  </si>
  <si>
    <t>MVFANG+ BF-H</t>
  </si>
  <si>
    <t>MVFANG+ BF-T</t>
  </si>
  <si>
    <t>MVFANG+ BM-1</t>
  </si>
  <si>
    <t>MVFANG+ BM-T</t>
  </si>
  <si>
    <t>ETF's  y acciones del mercado accionario NASDAQ</t>
  </si>
  <si>
    <t>MULTIEQ BF-f</t>
  </si>
  <si>
    <t>MULTIAR A</t>
  </si>
  <si>
    <t>MULTIAR BF-F</t>
  </si>
  <si>
    <t>MULTIBA A</t>
  </si>
  <si>
    <t>MULTIED A</t>
  </si>
  <si>
    <t>MULTIEQ A</t>
  </si>
  <si>
    <t>MVFANG+ A</t>
  </si>
  <si>
    <t>MULTIFA A</t>
  </si>
  <si>
    <t>MULTINS A</t>
  </si>
  <si>
    <t>MULTIRE A</t>
  </si>
  <si>
    <t>MULTIRE BF-F</t>
  </si>
  <si>
    <t>MULTISI A</t>
  </si>
  <si>
    <t>MULTISI BF-F</t>
  </si>
  <si>
    <t>MULTIUS A</t>
  </si>
  <si>
    <t>MULTIUS BF-F</t>
  </si>
  <si>
    <t>MVJER A</t>
  </si>
  <si>
    <t>MVJER BF-F</t>
  </si>
  <si>
    <t>Anualizado Compuesto</t>
  </si>
  <si>
    <t>FONDO</t>
  </si>
  <si>
    <t>Periodo de 12 meses</t>
  </si>
  <si>
    <t>Periodo de 3 años y el año en curso</t>
  </si>
  <si>
    <t>Precio Inicial</t>
  </si>
  <si>
    <t>Precio Final</t>
  </si>
  <si>
    <t>No.</t>
  </si>
  <si>
    <t>MENSUALES</t>
  </si>
  <si>
    <t>ACUMULADOS</t>
  </si>
  <si>
    <t>Días Acumulados</t>
  </si>
  <si>
    <t>Inicio</t>
  </si>
  <si>
    <t>Fin</t>
  </si>
  <si>
    <t>Periodo de 48 meses</t>
  </si>
  <si>
    <t>Mes/aa</t>
  </si>
  <si>
    <t>Periodos AMIB</t>
  </si>
  <si>
    <t>Último mes</t>
  </si>
  <si>
    <t>Últimos 3 meses</t>
  </si>
  <si>
    <t>Últimos 12 meses</t>
  </si>
  <si>
    <t>Últimos 3 años</t>
  </si>
  <si>
    <t>MÁXIMO</t>
  </si>
  <si>
    <t>MÍNIMO</t>
  </si>
  <si>
    <t>Periodos de tiempo acumulados</t>
  </si>
  <si>
    <t>Periodos de tiempo de los años más recientes</t>
  </si>
  <si>
    <t>Fórmula</t>
  </si>
  <si>
    <t>Rendimientos Anualizados Compuestos</t>
  </si>
  <si>
    <t>Acumulados</t>
  </si>
  <si>
    <t>MULTIPC BF-F</t>
  </si>
  <si>
    <t>MULTIPC A</t>
  </si>
  <si>
    <t>En USD</t>
  </si>
  <si>
    <t>Fuente: Elaboración propia con datos de COVAF y Banco de México</t>
  </si>
  <si>
    <t>Del</t>
  </si>
  <si>
    <t>Al</t>
  </si>
  <si>
    <t>S&amp;P500 en USD</t>
  </si>
  <si>
    <t>NASDAQ 100 en USD</t>
  </si>
  <si>
    <t>Rendimientos Netos</t>
  </si>
  <si>
    <t>Periodos de tiempo establecidos en la Norma de Autorregulación de la AMIB</t>
  </si>
  <si>
    <t>Los rendimientos de los fondos de deuda se muestran anualizados.</t>
  </si>
  <si>
    <t>Para Fondos de Deuda</t>
  </si>
  <si>
    <t>Para Fondos de Renta Variable</t>
  </si>
  <si>
    <t>Para el cálculo de estos rendimientos, se toma  el precio de valuación del último día del mes anterior y el precio de valuación del último día hábil del mes actual, registrados un día hábil después en la plataforma de Divulgación COVAF.</t>
  </si>
  <si>
    <t>Starting Date 2023</t>
  </si>
  <si>
    <t>1) El horario antes mencionado podrá ser modificado temporalmente de acuerdo con la reducción o modificaciones de horarios que realicen las Bolsas, S.D. Indeval Institución para el Depósito de Valores, S.A. de C.V. y/o los mercados de los países origen donde cotizan los activos objeto de inversión del Fondo. Dicho cambio se dará a conocer en la página de internet de la Operadora y de la Sociedad o Entidades que presten el servicio de distribución.</t>
  </si>
  <si>
    <t>Nasdaq 100 en Pesos</t>
  </si>
  <si>
    <t>Tasas  Efectivas</t>
  </si>
  <si>
    <t>Factor</t>
  </si>
  <si>
    <t>En Pesos</t>
  </si>
  <si>
    <t xml:space="preserve"> </t>
  </si>
  <si>
    <t>Tasas en Dólares para Fondos de Renta Variable</t>
  </si>
  <si>
    <t>Factor = Rendimiento + 1 =</t>
  </si>
  <si>
    <t xml:space="preserve"> (1) El horario antes mencionado podrá ser modificado temporalmente de acuerdo con la reducción o modificaciones de horarios que realicen las Bolsas, S.D. Indeval Institución para el Depósito de Valores, S.A. de C.V. y/o los mercados de los países origen donde cotizan los activos objeto de inversión del Fondo. Dicho cambio se dará a conocer en la página de internet de la Operadora y de la Sociedad o Entidades que presten el servicio de distribución.</t>
  </si>
  <si>
    <t>Starting Date 2024</t>
  </si>
  <si>
    <t>Del:</t>
  </si>
  <si>
    <t>Al:</t>
  </si>
  <si>
    <t>Cuota de Remuneración</t>
  </si>
  <si>
    <t>MÁXIMO EN ÚLTIMO AÑO CALENDARIO (2024)</t>
  </si>
  <si>
    <t>MÍNIMO EN ÚLTIMO AÑO CALENDARIO (2024)</t>
  </si>
  <si>
    <t>Starting Date 2025</t>
  </si>
  <si>
    <t>Cuota Total</t>
  </si>
  <si>
    <t>Starting Date 2026</t>
  </si>
  <si>
    <t>MULTIRE BE-0</t>
  </si>
  <si>
    <t>MÁXIMO EN ÚLTIMO AÑO CALENDARIO (2025)</t>
  </si>
  <si>
    <t>MÍNIMO EN ÚLTIMO AÑO CALENDARIO (2025)</t>
  </si>
  <si>
    <t>Personas físicas mexicanas</t>
  </si>
  <si>
    <t>Una acción</t>
  </si>
  <si>
    <t>Corto Plazo</t>
  </si>
  <si>
    <t>Diario</t>
  </si>
  <si>
    <t>Mismo día</t>
  </si>
  <si>
    <t>HR AAA / 1CP</t>
  </si>
  <si>
    <t>Semanal, en Jueves</t>
  </si>
  <si>
    <t>Quincenal, en jueves</t>
  </si>
  <si>
    <t>Personas físicas extranjeras</t>
  </si>
  <si>
    <t>Mensual, último jueves de cada mes</t>
  </si>
  <si>
    <t>Empleados, directivos, consejeros o jubilados de todas las entidades que formen parte del grupo financiero o empresarial al que pertenece la sociedad operadora.</t>
  </si>
  <si>
    <t>Personas morales no sujetas a retención del ISR</t>
  </si>
  <si>
    <t>Personas morales mexicanas</t>
  </si>
  <si>
    <t>Personas morales extranjeras</t>
  </si>
  <si>
    <t>Largo Plazo</t>
  </si>
  <si>
    <t>Mensual, capturar el último martes de cada mes</t>
  </si>
  <si>
    <t>48 hrs</t>
  </si>
  <si>
    <t>HR AA / 3LP</t>
  </si>
  <si>
    <t>Corto Plazo Gubernamental</t>
  </si>
  <si>
    <t>Mediano Plazo</t>
  </si>
  <si>
    <t>Jueves</t>
  </si>
  <si>
    <t>Deuda Dólares</t>
  </si>
  <si>
    <t>HR AAA / 2CP</t>
  </si>
  <si>
    <t>Corto Plazo en Moneda Extranjera (IDCPME)</t>
  </si>
  <si>
    <t>Acciones BMV</t>
  </si>
  <si>
    <t>24 hrs</t>
  </si>
  <si>
    <t>14:00  (1)</t>
  </si>
  <si>
    <t>Especializada en Acciones</t>
  </si>
  <si>
    <t>Deuda Global</t>
  </si>
  <si>
    <t>Morales No Contribuyentes</t>
  </si>
  <si>
    <t>Mediano a Largo Plazo</t>
  </si>
  <si>
    <t>72 hrs</t>
  </si>
  <si>
    <t>AAf / S6 (mex)</t>
  </si>
  <si>
    <t>Largo Plazo General IDLP</t>
  </si>
  <si>
    <t>Físicas</t>
  </si>
  <si>
    <t>Morales</t>
  </si>
  <si>
    <t>Físicas, Morales y Morales No Contribuyentes</t>
  </si>
  <si>
    <t>Especializada en Acciones  Internacionales RVESACCINT</t>
  </si>
  <si>
    <t>Mediano y Largo Plazo</t>
  </si>
  <si>
    <t>AAAf / S6 (mex)</t>
  </si>
  <si>
    <t>Discrecional de Tasa Real</t>
  </si>
  <si>
    <t>Fondo de Fondos (20 a 50 RV)</t>
  </si>
  <si>
    <t>Mayoritariamente en Valores de Deuda</t>
  </si>
  <si>
    <t>Fondo de Fondos (50 a 80 RV)</t>
  </si>
  <si>
    <t>Mayoritariamente en Renta Variable</t>
  </si>
  <si>
    <t>NASDAQ 100</t>
  </si>
  <si>
    <t>Especializado en Renta Variable</t>
  </si>
  <si>
    <t>Fondos de Fondos</t>
  </si>
  <si>
    <t>S&amp;P500</t>
  </si>
  <si>
    <t>ene-25</t>
  </si>
  <si>
    <t>feb-25</t>
  </si>
  <si>
    <t>mar-25</t>
  </si>
  <si>
    <t>abr-25</t>
  </si>
  <si>
    <t>may-25</t>
  </si>
  <si>
    <t>jun-25</t>
  </si>
  <si>
    <t>jul-25</t>
  </si>
  <si>
    <t>ago-25</t>
  </si>
  <si>
    <t>sep-25</t>
  </si>
  <si>
    <t>oct-25</t>
  </si>
  <si>
    <t>nov-25</t>
  </si>
  <si>
    <t>dic-25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</si>
</sst>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000000_-;\-* #,##0.000000_-;_-* &quot;-&quot;??_-;_-@_-"/>
    <numFmt numFmtId="165" formatCode="_-&quot;$&quot;* #,##0_-;\-&quot;$&quot;* #,##0_-;_-&quot;$&quot;* &quot;-&quot;??_-;_-@_-"/>
    <numFmt numFmtId="166" formatCode="#,##0.00%;[Red]\(#,##0.00%\)"/>
    <numFmt numFmtId="167" formatCode="_-* #,##0_-;\-* #,##0_-;_-* &quot;-&quot;??_-;_-@_-"/>
    <numFmt numFmtId="168" formatCode="[$-C0A]mmm\-yy;@"/>
    <numFmt numFmtId="169" formatCode="#,##0.00%;\(#,##0.00%\)"/>
    <numFmt numFmtId="170" formatCode="_-[$€-2]* #,##0.00_-;\-[$€-2]* #,##0.00_-;_-[$€-2]* &quot;-&quot;??_-"/>
    <numFmt numFmtId="171" formatCode="_(* #,##0.00_);_(* \(#,##0.00\);_(* &quot;-&quot;??_);_(@_)"/>
    <numFmt numFmtId="172" formatCode="0.000000"/>
  </numFmts>
  <fonts count="51" x14ac:knownFonts="1">
    <font>
      <sz val="11"/>
      <color theme="1"/>
      <name val="Calibri"/>
      <family val="2"/>
      <scheme val="minor"/>
    </font>
    <font>
      <sz val="10"/>
      <color theme="1"/>
      <name val="Multiva Sans"/>
      <family val="2"/>
    </font>
    <font>
      <sz val="11"/>
      <color theme="1"/>
      <name val="Calibri"/>
      <family val="2"/>
      <scheme val="minor"/>
    </font>
    <font>
      <b/>
      <sz val="11"/>
      <color theme="0"/>
      <name val="Calibri"/>
      <family val="2"/>
      <scheme val="minor"/>
    </font>
    <font>
      <sz val="11"/>
      <color theme="9" tint="-0.249977111117893"/>
      <name val="Calibri"/>
      <family val="2"/>
      <scheme val="minor"/>
    </font>
    <font>
      <b/>
      <sz val="12"/>
      <color theme="1"/>
      <name val="Calibri"/>
      <family val="2"/>
      <scheme val="minor"/>
    </font>
    <font>
      <b/>
      <sz val="11"/>
      <color rgb="FFC00000"/>
      <name val="Calibri"/>
      <family val="2"/>
      <scheme val="minor"/>
    </font>
    <font>
      <b/>
      <sz val="12"/>
      <color theme="1"/>
      <name val="Arial"/>
      <family val="2"/>
    </font>
    <font>
      <b/>
      <sz val="12"/>
      <color rgb="FFC00000"/>
      <name val="Arial"/>
      <family val="2"/>
    </font>
    <font>
      <i/>
      <sz val="11"/>
      <color theme="1"/>
      <name val="Calibri"/>
      <family val="2"/>
      <scheme val="minor"/>
    </font>
    <font>
      <sz val="10"/>
      <name val="Arial"/>
      <family val="2"/>
    </font>
    <font>
      <sz val="10"/>
      <name val="Helv"/>
    </font>
    <font>
      <b/>
      <sz val="11"/>
      <color theme="1"/>
      <name val="Calibri"/>
      <family val="2"/>
      <scheme val="minor"/>
    </font>
    <font>
      <sz val="11"/>
      <color theme="4"/>
      <name val="Calibri"/>
      <family val="2"/>
      <scheme val="minor"/>
    </font>
    <font>
      <sz val="11"/>
      <color rgb="FF002060"/>
      <name val="Calibri"/>
      <family val="2"/>
      <scheme val="minor"/>
    </font>
    <font>
      <sz val="11"/>
      <color rgb="FF0070C0"/>
      <name val="Calibri"/>
      <family val="2"/>
      <scheme val="minor"/>
    </font>
    <font>
      <sz val="11"/>
      <color rgb="FFFF00FF"/>
      <name val="Calibri"/>
      <family val="2"/>
      <scheme val="minor"/>
    </font>
    <font>
      <sz val="11"/>
      <color theme="0"/>
      <name val="Calibri"/>
      <family val="2"/>
      <scheme val="minor"/>
    </font>
    <font>
      <b/>
      <sz val="10"/>
      <name val="Arial"/>
      <family val="2"/>
    </font>
    <font>
      <sz val="12"/>
      <name val="Arial"/>
      <family val="2"/>
    </font>
    <font>
      <b/>
      <sz val="12"/>
      <name val="Arial"/>
      <family val="2"/>
    </font>
    <font>
      <sz val="14"/>
      <color rgb="FF336600"/>
      <name val="Calibri"/>
      <family val="2"/>
      <scheme val="minor"/>
    </font>
    <font>
      <sz val="11"/>
      <name val="Calibri"/>
      <family val="2"/>
      <scheme val="minor"/>
    </font>
    <font>
      <sz val="11"/>
      <color rgb="FFC00000"/>
      <name val="Calibri"/>
      <family val="2"/>
      <scheme val="minor"/>
    </font>
    <font>
      <sz val="11"/>
      <name val="Calibri"/>
      <family val="2"/>
    </font>
    <font>
      <sz val="11"/>
      <color theme="3"/>
      <name val="Calibri"/>
      <family val="2"/>
      <scheme val="minor"/>
    </font>
    <font>
      <i/>
      <sz val="11"/>
      <color theme="3"/>
      <name val="Calibri"/>
      <family val="2"/>
      <scheme val="minor"/>
    </font>
    <font>
      <b/>
      <sz val="18"/>
      <color theme="1"/>
      <name val="Calibri"/>
      <family val="2"/>
      <scheme val="minor"/>
    </font>
    <font>
      <sz val="11"/>
      <color theme="9"/>
      <name val="Calibri"/>
      <family val="2"/>
      <scheme val="minor"/>
    </font>
    <font>
      <b/>
      <sz val="11"/>
      <color theme="9"/>
      <name val="Calibri"/>
      <family val="2"/>
      <scheme val="minor"/>
    </font>
    <font>
      <b/>
      <sz val="14"/>
      <color theme="0"/>
      <name val="Calibri"/>
      <family val="2"/>
      <scheme val="minor"/>
    </font>
    <font>
      <b/>
      <sz val="16"/>
      <color theme="0"/>
      <name val="Calibri"/>
      <family val="2"/>
      <scheme val="minor"/>
    </font>
    <font>
      <sz val="14"/>
      <color theme="1"/>
      <name val="Calibri"/>
      <family val="2"/>
      <scheme val="minor"/>
    </font>
    <font>
      <b/>
      <sz val="14"/>
      <color theme="1"/>
      <name val="Calibri"/>
      <family val="2"/>
      <scheme val="minor"/>
    </font>
    <font>
      <b/>
      <sz val="14"/>
      <color rgb="FFC00000"/>
      <name val="Calibri"/>
      <family val="2"/>
      <scheme val="minor"/>
    </font>
    <font>
      <b/>
      <sz val="16"/>
      <name val="Calibri"/>
      <family val="2"/>
      <scheme val="minor"/>
    </font>
    <font>
      <sz val="11"/>
      <color rgb="FFFF0000"/>
      <name val="Calibri"/>
      <family val="2"/>
      <scheme val="minor"/>
    </font>
    <font>
      <sz val="8"/>
      <name val="Calibri"/>
      <family val="2"/>
      <scheme val="minor"/>
    </font>
    <font>
      <sz val="10"/>
      <color rgb="FF7030A0"/>
      <name val="Arial"/>
      <family val="2"/>
    </font>
    <font>
      <sz val="11"/>
      <color theme="2"/>
      <name val="Calibri"/>
      <family val="2"/>
      <scheme val="minor"/>
    </font>
    <font>
      <b/>
      <sz val="18"/>
      <name val="Calibri"/>
      <family val="2"/>
      <scheme val="minor"/>
    </font>
    <font>
      <sz val="16"/>
      <color theme="1"/>
      <name val="Calibri"/>
      <family val="2"/>
      <scheme val="minor"/>
    </font>
    <font>
      <sz val="10"/>
      <color theme="0"/>
      <name val="Arial"/>
      <family val="2"/>
    </font>
    <font>
      <i/>
      <sz val="11"/>
      <name val="Calibri"/>
      <family val="2"/>
      <scheme val="minor"/>
    </font>
    <font>
      <b/>
      <sz val="10"/>
      <color theme="0"/>
      <name val="Arial"/>
      <family val="2"/>
    </font>
    <font>
      <sz val="12"/>
      <color theme="0"/>
      <name val="Arial"/>
      <family val="2"/>
    </font>
    <font>
      <sz val="9"/>
      <color theme="0"/>
      <name val="Arial"/>
      <family val="2"/>
    </font>
    <font>
      <sz val="9"/>
      <color theme="0"/>
      <name val="Calibri"/>
      <family val="2"/>
      <scheme val="minor"/>
    </font>
    <font>
      <i/>
      <sz val="11"/>
      <color theme="0"/>
      <name val="Calibri"/>
      <family val="2"/>
      <scheme val="minor"/>
    </font>
    <font>
      <b/>
      <sz val="12"/>
      <color theme="0"/>
      <name val="Arial"/>
      <family val="2"/>
    </font>
    <font>
      <sz val="11"/>
      <color theme="0"/>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indexed="9"/>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6600"/>
        <bgColor indexed="64"/>
      </patternFill>
    </fill>
    <fill>
      <patternFill patternType="solid">
        <fgColor theme="0" tint="-0.249977111117893"/>
        <bgColor indexed="64"/>
      </patternFill>
    </fill>
  </fills>
  <borders count="42">
    <border>
      <left/>
      <right/>
      <top/>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style="double">
        <color auto="1"/>
      </top>
      <bottom style="double">
        <color auto="1"/>
      </bottom>
      <diagonal/>
    </border>
    <border>
      <left/>
      <right/>
      <top/>
      <bottom style="hair">
        <color auto="1"/>
      </bottom>
      <diagonal/>
    </border>
    <border>
      <left/>
      <right/>
      <top style="hair">
        <color auto="1"/>
      </top>
      <bottom style="hair">
        <color auto="1"/>
      </bottom>
      <diagonal/>
    </border>
    <border>
      <left style="hair">
        <color auto="1"/>
      </left>
      <right style="thin">
        <color indexed="64"/>
      </right>
      <top style="hair">
        <color auto="1"/>
      </top>
      <bottom style="hair">
        <color auto="1"/>
      </bottom>
      <diagonal/>
    </border>
    <border>
      <left/>
      <right/>
      <top/>
      <bottom style="thin">
        <color indexed="64"/>
      </bottom>
      <diagonal/>
    </border>
    <border>
      <left style="medium">
        <color theme="2" tint="-9.9948118533890809E-2"/>
      </left>
      <right style="medium">
        <color theme="2" tint="-9.9948118533890809E-2"/>
      </right>
      <top style="medium">
        <color theme="2" tint="-9.9948118533890809E-2"/>
      </top>
      <bottom style="medium">
        <color theme="2" tint="-9.9948118533890809E-2"/>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style="thin">
        <color theme="4"/>
      </right>
      <top/>
      <bottom style="thin">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hair">
        <color auto="1"/>
      </bottom>
      <diagonal/>
    </border>
    <border>
      <left style="thin">
        <color indexed="64"/>
      </left>
      <right/>
      <top/>
      <bottom style="hair">
        <color auto="1"/>
      </bottom>
      <diagonal/>
    </border>
    <border>
      <left style="thin">
        <color indexed="64"/>
      </left>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top style="hair">
        <color auto="1"/>
      </top>
      <bottom style="thin">
        <color indexed="64"/>
      </bottom>
      <diagonal/>
    </border>
    <border>
      <left style="hair">
        <color auto="1"/>
      </left>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left>
      <right/>
      <top style="hair">
        <color theme="4"/>
      </top>
      <bottom style="thin">
        <color theme="4"/>
      </bottom>
      <diagonal/>
    </border>
    <border>
      <left/>
      <right/>
      <top style="hair">
        <color theme="4"/>
      </top>
      <bottom style="thin">
        <color theme="4"/>
      </bottom>
      <diagonal/>
    </border>
    <border>
      <left/>
      <right style="thin">
        <color theme="4"/>
      </right>
      <top style="hair">
        <color theme="4"/>
      </top>
      <bottom style="thin">
        <color theme="4"/>
      </bottom>
      <diagonal/>
    </border>
    <border>
      <left style="hair">
        <color auto="1"/>
      </left>
      <right style="hair">
        <color auto="1"/>
      </right>
      <top style="hair">
        <color auto="1"/>
      </top>
      <bottom/>
      <diagonal/>
    </border>
    <border>
      <left style="hair">
        <color theme="0" tint="-0.499984740745262"/>
      </left>
      <right style="hair">
        <color theme="0" tint="-0.499984740745262"/>
      </right>
      <top style="hair">
        <color theme="0" tint="-0.499984740745262"/>
      </top>
      <bottom style="hair">
        <color theme="0" tint="-0.499984740745262"/>
      </bottom>
      <diagonal/>
    </border>
  </borders>
  <cellStyleXfs count="21">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0" fillId="0" borderId="0"/>
    <xf numFmtId="44" fontId="10" fillId="0" borderId="0" applyFont="0" applyFill="0" applyBorder="0" applyAlignment="0" applyProtection="0"/>
    <xf numFmtId="9"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0" fontId="10" fillId="0" borderId="0"/>
    <xf numFmtId="0" fontId="2" fillId="0" borderId="0"/>
    <xf numFmtId="0" fontId="2" fillId="0" borderId="0"/>
    <xf numFmtId="0" fontId="2" fillId="0" borderId="0"/>
    <xf numFmtId="9" fontId="2" fillId="0" borderId="0" applyFont="0" applyFill="0" applyBorder="0" applyAlignment="0" applyProtection="0"/>
    <xf numFmtId="0" fontId="11" fillId="0" borderId="0"/>
    <xf numFmtId="171" fontId="10" fillId="0" borderId="0" applyFont="0" applyFill="0" applyBorder="0" applyAlignment="0" applyProtection="0"/>
    <xf numFmtId="0" fontId="10" fillId="0" borderId="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374">
    <xf numFmtId="0" fontId="0" fillId="0" borderId="0" xfId="0"/>
    <xf numFmtId="0" fontId="0" fillId="2" borderId="0" xfId="0" applyFill="1"/>
    <xf numFmtId="0" fontId="5" fillId="2" borderId="0" xfId="0" applyFont="1" applyFill="1"/>
    <xf numFmtId="0" fontId="7" fillId="2" borderId="0" xfId="0" applyFont="1" applyFill="1" applyAlignment="1">
      <alignment horizontal="right"/>
    </xf>
    <xf numFmtId="15" fontId="8" fillId="2" borderId="0" xfId="0" applyNumberFormat="1" applyFont="1" applyFill="1"/>
    <xf numFmtId="0" fontId="0" fillId="2" borderId="0" xfId="0" applyFill="1" applyAlignment="1">
      <alignment wrapText="1"/>
    </xf>
    <xf numFmtId="15" fontId="0" fillId="0" borderId="0" xfId="0" applyNumberFormat="1"/>
    <xf numFmtId="0" fontId="13" fillId="2" borderId="0" xfId="0" applyFont="1" applyFill="1"/>
    <xf numFmtId="0" fontId="14" fillId="2" borderId="0" xfId="0" applyFont="1" applyFill="1"/>
    <xf numFmtId="166" fontId="19" fillId="0" borderId="3" xfId="0" applyNumberFormat="1" applyFont="1" applyBorder="1" applyAlignment="1">
      <alignment horizontal="center"/>
    </xf>
    <xf numFmtId="15" fontId="0" fillId="3" borderId="0" xfId="0" applyNumberFormat="1" applyFill="1"/>
    <xf numFmtId="0" fontId="16" fillId="0" borderId="0" xfId="0" applyFont="1"/>
    <xf numFmtId="0" fontId="23" fillId="2" borderId="0" xfId="0" applyFont="1" applyFill="1"/>
    <xf numFmtId="0" fontId="25" fillId="2" borderId="0" xfId="0" applyFont="1" applyFill="1"/>
    <xf numFmtId="0" fontId="26" fillId="2" borderId="0" xfId="0" applyFont="1" applyFill="1"/>
    <xf numFmtId="0" fontId="21" fillId="2" borderId="0" xfId="0" applyFont="1" applyFill="1"/>
    <xf numFmtId="0" fontId="27" fillId="2" borderId="0" xfId="0" applyFont="1" applyFill="1"/>
    <xf numFmtId="0" fontId="22" fillId="2" borderId="0" xfId="0" applyFont="1" applyFill="1"/>
    <xf numFmtId="166" fontId="19" fillId="2" borderId="0" xfId="0" applyNumberFormat="1" applyFont="1" applyFill="1" applyAlignment="1">
      <alignment horizontal="center"/>
    </xf>
    <xf numFmtId="0" fontId="24" fillId="2" borderId="0" xfId="0" applyFont="1" applyFill="1" applyAlignment="1">
      <alignment vertical="center" wrapText="1"/>
    </xf>
    <xf numFmtId="15" fontId="0" fillId="8" borderId="0" xfId="0" applyNumberFormat="1" applyFill="1"/>
    <xf numFmtId="15" fontId="0" fillId="7" borderId="0" xfId="0" applyNumberFormat="1" applyFill="1"/>
    <xf numFmtId="15" fontId="0" fillId="4" borderId="0" xfId="0" applyNumberFormat="1" applyFill="1"/>
    <xf numFmtId="15" fontId="0" fillId="9" borderId="0" xfId="0" applyNumberFormat="1" applyFill="1"/>
    <xf numFmtId="15" fontId="16" fillId="0" borderId="0" xfId="0" applyNumberFormat="1" applyFont="1"/>
    <xf numFmtId="15" fontId="0" fillId="2" borderId="0" xfId="0" applyNumberFormat="1" applyFill="1"/>
    <xf numFmtId="10" fontId="0" fillId="2" borderId="0" xfId="3" applyNumberFormat="1" applyFont="1" applyFill="1"/>
    <xf numFmtId="0" fontId="0" fillId="4" borderId="0" xfId="0" applyFill="1" applyAlignment="1">
      <alignment vertical="center"/>
    </xf>
    <xf numFmtId="0" fontId="33" fillId="2" borderId="0" xfId="0" applyFont="1" applyFill="1"/>
    <xf numFmtId="0" fontId="0" fillId="2" borderId="0" xfId="0" applyFill="1" applyAlignment="1">
      <alignment vertical="center"/>
    </xf>
    <xf numFmtId="43" fontId="0" fillId="2" borderId="0" xfId="1" applyFont="1" applyFill="1" applyBorder="1" applyAlignment="1">
      <alignment horizontal="center" vertical="center" wrapText="1"/>
    </xf>
    <xf numFmtId="0" fontId="17" fillId="2" borderId="0" xfId="0" applyFont="1" applyFill="1" applyAlignment="1">
      <alignment horizontal="center"/>
    </xf>
    <xf numFmtId="0" fontId="0" fillId="0" borderId="3" xfId="0" applyBorder="1"/>
    <xf numFmtId="0" fontId="29" fillId="0" borderId="3" xfId="0" applyFont="1" applyBorder="1" applyAlignment="1">
      <alignment horizontal="center"/>
    </xf>
    <xf numFmtId="15" fontId="0" fillId="0" borderId="3" xfId="0" applyNumberFormat="1" applyBorder="1"/>
    <xf numFmtId="164" fontId="0" fillId="0" borderId="3" xfId="1" applyNumberFormat="1" applyFont="1" applyBorder="1"/>
    <xf numFmtId="164" fontId="0" fillId="0" borderId="3" xfId="1" applyNumberFormat="1" applyFont="1" applyFill="1" applyBorder="1"/>
    <xf numFmtId="44" fontId="0" fillId="0" borderId="3" xfId="2" applyFont="1" applyFill="1" applyBorder="1"/>
    <xf numFmtId="44" fontId="0" fillId="2" borderId="0" xfId="0" applyNumberFormat="1" applyFill="1"/>
    <xf numFmtId="0" fontId="25" fillId="2" borderId="0" xfId="0" applyFont="1" applyFill="1" applyAlignment="1">
      <alignment wrapText="1"/>
    </xf>
    <xf numFmtId="0" fontId="16" fillId="0" borderId="0" xfId="0" applyFont="1" applyAlignment="1">
      <alignment horizontal="right"/>
    </xf>
    <xf numFmtId="0" fontId="34" fillId="2" borderId="0" xfId="0" applyFont="1" applyFill="1" applyAlignment="1">
      <alignment horizontal="right"/>
    </xf>
    <xf numFmtId="165" fontId="32" fillId="3" borderId="0" xfId="2" applyNumberFormat="1" applyFont="1" applyFill="1" applyProtection="1">
      <protection locked="0"/>
    </xf>
    <xf numFmtId="0" fontId="0" fillId="2" borderId="3" xfId="0" applyFill="1" applyBorder="1"/>
    <xf numFmtId="10" fontId="0" fillId="2" borderId="3" xfId="3" applyNumberFormat="1" applyFont="1" applyFill="1" applyBorder="1" applyAlignment="1">
      <alignment horizontal="center"/>
    </xf>
    <xf numFmtId="0" fontId="0" fillId="2" borderId="3" xfId="3" applyNumberFormat="1" applyFont="1" applyFill="1" applyBorder="1" applyAlignment="1">
      <alignment horizontal="center"/>
    </xf>
    <xf numFmtId="166" fontId="0" fillId="2" borderId="3" xfId="0" applyNumberFormat="1" applyFill="1" applyBorder="1" applyAlignment="1">
      <alignment horizontal="center"/>
    </xf>
    <xf numFmtId="166" fontId="0" fillId="2" borderId="3" xfId="3" applyNumberFormat="1" applyFont="1" applyFill="1" applyBorder="1" applyAlignment="1">
      <alignment horizontal="center"/>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15" fontId="0" fillId="2" borderId="3" xfId="0" applyNumberFormat="1" applyFill="1" applyBorder="1" applyAlignment="1">
      <alignment horizontal="center" vertical="center" wrapText="1"/>
    </xf>
    <xf numFmtId="10" fontId="0" fillId="2" borderId="3" xfId="3" applyNumberFormat="1" applyFont="1" applyFill="1" applyBorder="1" applyAlignment="1">
      <alignment horizontal="center" vertical="center" wrapText="1"/>
    </xf>
    <xf numFmtId="0" fontId="0" fillId="0" borderId="3" xfId="0" applyBorder="1" applyAlignment="1">
      <alignment horizontal="center" vertical="center"/>
    </xf>
    <xf numFmtId="0" fontId="0" fillId="2" borderId="3" xfId="0" applyFill="1" applyBorder="1" applyAlignment="1">
      <alignment horizontal="center"/>
    </xf>
    <xf numFmtId="0" fontId="0" fillId="2" borderId="3" xfId="0" applyFill="1" applyBorder="1" applyAlignment="1">
      <alignment horizontal="center" vertical="center"/>
    </xf>
    <xf numFmtId="0" fontId="25" fillId="2" borderId="0" xfId="0" applyFont="1" applyFill="1" applyAlignment="1">
      <alignment vertical="center" wrapText="1"/>
    </xf>
    <xf numFmtId="10" fontId="0" fillId="2" borderId="3" xfId="3" applyNumberFormat="1" applyFont="1" applyFill="1" applyBorder="1"/>
    <xf numFmtId="15" fontId="0" fillId="0" borderId="3" xfId="0" applyNumberFormat="1" applyBorder="1" applyAlignment="1">
      <alignment horizontal="center" vertical="center" wrapText="1"/>
    </xf>
    <xf numFmtId="10" fontId="0" fillId="2" borderId="3" xfId="3" applyNumberFormat="1" applyFont="1" applyFill="1" applyBorder="1" applyAlignment="1">
      <alignment horizontal="center" vertical="center"/>
    </xf>
    <xf numFmtId="0" fontId="29" fillId="0" borderId="0" xfId="0" applyFont="1" applyAlignment="1">
      <alignment horizontal="center"/>
    </xf>
    <xf numFmtId="166" fontId="0" fillId="2" borderId="0" xfId="3" applyNumberFormat="1" applyFont="1" applyFill="1" applyBorder="1" applyAlignment="1">
      <alignment horizontal="center"/>
    </xf>
    <xf numFmtId="0" fontId="0" fillId="2" borderId="0" xfId="3" applyNumberFormat="1" applyFont="1" applyFill="1" applyBorder="1" applyAlignment="1">
      <alignment horizontal="center"/>
    </xf>
    <xf numFmtId="0" fontId="0" fillId="2" borderId="0" xfId="0" applyFill="1" applyAlignment="1">
      <alignment horizontal="center"/>
    </xf>
    <xf numFmtId="0" fontId="29" fillId="2" borderId="0" xfId="0" applyFont="1" applyFill="1" applyAlignment="1">
      <alignment horizontal="center"/>
    </xf>
    <xf numFmtId="10" fontId="0" fillId="2" borderId="0" xfId="3" applyNumberFormat="1" applyFont="1" applyFill="1" applyBorder="1"/>
    <xf numFmtId="0" fontId="9" fillId="2" borderId="0" xfId="0" applyFont="1" applyFill="1" applyAlignment="1">
      <alignment vertical="center" wrapText="1"/>
    </xf>
    <xf numFmtId="0" fontId="36" fillId="2" borderId="0" xfId="0" applyFont="1" applyFill="1" applyAlignment="1">
      <alignment horizontal="center"/>
    </xf>
    <xf numFmtId="164" fontId="0" fillId="0" borderId="3" xfId="1" applyNumberFormat="1" applyFont="1" applyFill="1" applyBorder="1" applyAlignment="1">
      <alignment horizontal="right"/>
    </xf>
    <xf numFmtId="0" fontId="15" fillId="2" borderId="0" xfId="0" applyFont="1" applyFill="1"/>
    <xf numFmtId="43" fontId="15" fillId="2" borderId="0" xfId="0" applyNumberFormat="1" applyFont="1" applyFill="1"/>
    <xf numFmtId="169" fontId="15" fillId="2" borderId="0" xfId="3" applyNumberFormat="1" applyFont="1" applyFill="1"/>
    <xf numFmtId="0" fontId="15" fillId="0" borderId="0" xfId="0" applyFont="1"/>
    <xf numFmtId="166" fontId="0" fillId="2" borderId="0" xfId="0" applyNumberFormat="1" applyFill="1"/>
    <xf numFmtId="9" fontId="0" fillId="2" borderId="0" xfId="3" applyFont="1" applyFill="1"/>
    <xf numFmtId="10" fontId="0" fillId="2" borderId="0" xfId="0" applyNumberFormat="1" applyFill="1"/>
    <xf numFmtId="0" fontId="9" fillId="2" borderId="0" xfId="0" applyFont="1" applyFill="1" applyAlignment="1">
      <alignment horizontal="right"/>
    </xf>
    <xf numFmtId="2" fontId="0" fillId="2" borderId="3" xfId="1" applyNumberFormat="1" applyFont="1" applyFill="1" applyBorder="1" applyAlignment="1">
      <alignment horizontal="center"/>
    </xf>
    <xf numFmtId="166" fontId="0" fillId="2" borderId="0" xfId="3" applyNumberFormat="1" applyFont="1" applyFill="1" applyBorder="1" applyAlignment="1">
      <alignment horizontal="right"/>
    </xf>
    <xf numFmtId="0" fontId="0" fillId="0" borderId="3" xfId="0" applyBorder="1" applyAlignment="1">
      <alignment vertical="center"/>
    </xf>
    <xf numFmtId="0" fontId="9" fillId="0" borderId="3" xfId="0" applyFont="1" applyBorder="1" applyAlignment="1">
      <alignment vertical="center"/>
    </xf>
    <xf numFmtId="0" fontId="0" fillId="5" borderId="6" xfId="0" applyFill="1" applyBorder="1" applyAlignment="1">
      <alignment horizontal="center" vertical="center"/>
    </xf>
    <xf numFmtId="0" fontId="0" fillId="0" borderId="11" xfId="0" applyBorder="1" applyAlignment="1">
      <alignment horizontal="center" vertical="center"/>
    </xf>
    <xf numFmtId="164" fontId="0" fillId="0" borderId="11" xfId="1" applyNumberFormat="1" applyFont="1" applyBorder="1"/>
    <xf numFmtId="0" fontId="16" fillId="2" borderId="0" xfId="0" applyFont="1" applyFill="1" applyAlignment="1">
      <alignment horizontal="center"/>
    </xf>
    <xf numFmtId="164" fontId="15" fillId="2" borderId="12" xfId="0" applyNumberFormat="1" applyFont="1" applyFill="1" applyBorder="1" applyAlignment="1">
      <alignment horizontal="center"/>
    </xf>
    <xf numFmtId="164" fontId="15" fillId="2" borderId="0" xfId="0" applyNumberFormat="1" applyFont="1" applyFill="1" applyAlignment="1">
      <alignment horizontal="center"/>
    </xf>
    <xf numFmtId="0" fontId="0" fillId="2" borderId="6" xfId="0" applyFill="1" applyBorder="1" applyAlignment="1">
      <alignment horizontal="center" vertical="center"/>
    </xf>
    <xf numFmtId="0" fontId="0" fillId="2" borderId="4" xfId="0" applyFill="1" applyBorder="1" applyAlignment="1">
      <alignment horizontal="center"/>
    </xf>
    <xf numFmtId="164" fontId="0" fillId="2" borderId="4" xfId="1" applyNumberFormat="1" applyFont="1" applyFill="1" applyBorder="1" applyAlignment="1">
      <alignment vertical="center"/>
    </xf>
    <xf numFmtId="0" fontId="0" fillId="2" borderId="0" xfId="0" applyFill="1" applyAlignment="1">
      <alignment horizontal="center" vertical="center"/>
    </xf>
    <xf numFmtId="0" fontId="12" fillId="2" borderId="0" xfId="0" applyFont="1" applyFill="1" applyAlignment="1">
      <alignment vertical="center"/>
    </xf>
    <xf numFmtId="0" fontId="0" fillId="14" borderId="15" xfId="0" applyFill="1" applyBorder="1" applyAlignment="1">
      <alignment horizontal="center" vertical="center" wrapText="1"/>
    </xf>
    <xf numFmtId="15" fontId="0" fillId="0" borderId="0" xfId="0" applyNumberFormat="1" applyAlignment="1">
      <alignment horizontal="center"/>
    </xf>
    <xf numFmtId="0" fontId="0" fillId="0" borderId="18" xfId="0" applyBorder="1" applyAlignment="1">
      <alignment horizontal="center"/>
    </xf>
    <xf numFmtId="15" fontId="0" fillId="0" borderId="19" xfId="0" applyNumberFormat="1" applyBorder="1" applyAlignment="1">
      <alignment horizontal="center"/>
    </xf>
    <xf numFmtId="0" fontId="12" fillId="2" borderId="0" xfId="0" applyFont="1" applyFill="1"/>
    <xf numFmtId="0" fontId="18" fillId="2" borderId="15" xfId="0" applyFont="1" applyFill="1" applyBorder="1" applyAlignment="1">
      <alignment horizontal="center" vertical="center" wrapText="1"/>
    </xf>
    <xf numFmtId="15" fontId="10" fillId="0" borderId="15" xfId="0" applyNumberFormat="1" applyFont="1" applyBorder="1" applyAlignment="1">
      <alignment horizontal="center"/>
    </xf>
    <xf numFmtId="166" fontId="10" fillId="0" borderId="15" xfId="0" applyNumberFormat="1" applyFont="1" applyBorder="1" applyAlignment="1">
      <alignment horizontal="center" vertical="center"/>
    </xf>
    <xf numFmtId="0" fontId="28" fillId="2" borderId="0" xfId="0" applyFont="1" applyFill="1"/>
    <xf numFmtId="166" fontId="19" fillId="0" borderId="0" xfId="0" applyNumberFormat="1" applyFont="1" applyAlignment="1">
      <alignment horizontal="center"/>
    </xf>
    <xf numFmtId="10" fontId="0" fillId="2" borderId="0" xfId="3" applyNumberFormat="1" applyFont="1" applyFill="1" applyAlignment="1">
      <alignment horizontal="center"/>
    </xf>
    <xf numFmtId="0" fontId="0" fillId="2" borderId="15" xfId="0" applyFill="1" applyBorder="1" applyAlignment="1">
      <alignment horizontal="center" vertical="center" wrapText="1"/>
    </xf>
    <xf numFmtId="0" fontId="0" fillId="2" borderId="15" xfId="0" applyFill="1" applyBorder="1" applyAlignment="1">
      <alignment vertical="center" wrapText="1"/>
    </xf>
    <xf numFmtId="0" fontId="0" fillId="2" borderId="0" xfId="0" applyFill="1" applyAlignment="1">
      <alignment horizontal="right"/>
    </xf>
    <xf numFmtId="15" fontId="10" fillId="0" borderId="15" xfId="0" applyNumberFormat="1" applyFont="1" applyBorder="1" applyAlignment="1">
      <alignment horizontal="center" vertical="center"/>
    </xf>
    <xf numFmtId="0" fontId="10" fillId="0" borderId="15" xfId="0" applyFont="1" applyBorder="1" applyAlignment="1">
      <alignment horizontal="center"/>
    </xf>
    <xf numFmtId="172" fontId="0" fillId="2" borderId="15" xfId="0" applyNumberFormat="1" applyFill="1" applyBorder="1" applyAlignment="1">
      <alignment horizontal="center"/>
    </xf>
    <xf numFmtId="166" fontId="0" fillId="2" borderId="15" xfId="3" applyNumberFormat="1" applyFont="1" applyFill="1" applyBorder="1" applyAlignment="1">
      <alignment horizontal="center"/>
    </xf>
    <xf numFmtId="0" fontId="9" fillId="0" borderId="27" xfId="0" applyFont="1" applyBorder="1"/>
    <xf numFmtId="43" fontId="0" fillId="0" borderId="11" xfId="1" applyFont="1" applyBorder="1" applyAlignment="1">
      <alignment horizontal="center" vertical="center" wrapText="1"/>
    </xf>
    <xf numFmtId="0" fontId="9" fillId="0" borderId="28" xfId="0" applyFont="1" applyBorder="1" applyAlignment="1">
      <alignment vertical="center"/>
    </xf>
    <xf numFmtId="0" fontId="9" fillId="0" borderId="29" xfId="0" applyFont="1" applyBorder="1" applyAlignment="1">
      <alignment vertical="center"/>
    </xf>
    <xf numFmtId="44" fontId="0" fillId="0" borderId="11" xfId="2" applyFont="1" applyBorder="1" applyAlignment="1">
      <alignment horizontal="center" vertical="center"/>
    </xf>
    <xf numFmtId="43" fontId="0" fillId="0" borderId="11" xfId="1" applyFont="1" applyBorder="1" applyAlignment="1">
      <alignment horizontal="center" vertical="center"/>
    </xf>
    <xf numFmtId="0" fontId="9" fillId="0" borderId="28" xfId="0" applyFont="1" applyBorder="1" applyAlignment="1">
      <alignment vertical="center" wrapText="1"/>
    </xf>
    <xf numFmtId="20" fontId="6" fillId="0" borderId="11" xfId="0" applyNumberFormat="1" applyFont="1" applyBorder="1" applyAlignment="1">
      <alignment horizontal="center" vertical="center" wrapText="1"/>
    </xf>
    <xf numFmtId="0" fontId="9" fillId="0" borderId="30" xfId="0" applyFont="1" applyBorder="1" applyAlignment="1">
      <alignment vertical="center"/>
    </xf>
    <xf numFmtId="20" fontId="6" fillId="0" borderId="4" xfId="0" applyNumberFormat="1" applyFont="1" applyBorder="1" applyAlignment="1">
      <alignment horizontal="center" vertical="center" wrapText="1"/>
    </xf>
    <xf numFmtId="43" fontId="0" fillId="0" borderId="4" xfId="1" applyFont="1" applyBorder="1" applyAlignment="1">
      <alignment horizontal="center" vertical="center"/>
    </xf>
    <xf numFmtId="43" fontId="0" fillId="0" borderId="4" xfId="1" applyFont="1" applyBorder="1" applyAlignment="1">
      <alignment horizontal="center" vertical="center" wrapText="1"/>
    </xf>
    <xf numFmtId="44" fontId="0" fillId="0" borderId="4" xfId="2" applyFont="1" applyBorder="1" applyAlignment="1">
      <alignment horizontal="center" vertical="center"/>
    </xf>
    <xf numFmtId="43" fontId="0" fillId="2" borderId="0" xfId="1" applyFont="1" applyFill="1" applyBorder="1" applyAlignment="1">
      <alignment horizontal="left" vertical="center"/>
    </xf>
    <xf numFmtId="0" fontId="12" fillId="2" borderId="15" xfId="0" applyFont="1" applyFill="1" applyBorder="1" applyAlignment="1">
      <alignment horizontal="center" vertical="center" wrapText="1"/>
    </xf>
    <xf numFmtId="0" fontId="12" fillId="2" borderId="15" xfId="0" applyFont="1" applyFill="1" applyBorder="1" applyAlignment="1">
      <alignment horizontal="right" vertical="center" wrapText="1"/>
    </xf>
    <xf numFmtId="43" fontId="0" fillId="0" borderId="31" xfId="1" applyFont="1" applyBorder="1" applyAlignment="1">
      <alignment horizontal="center" vertical="center"/>
    </xf>
    <xf numFmtId="43" fontId="0" fillId="0" borderId="32" xfId="1" applyFont="1" applyBorder="1" applyAlignment="1">
      <alignment horizontal="center" vertical="center"/>
    </xf>
    <xf numFmtId="0" fontId="0" fillId="0" borderId="27" xfId="0" applyBorder="1"/>
    <xf numFmtId="0" fontId="0" fillId="0" borderId="28" xfId="0" applyBorder="1" applyAlignment="1">
      <alignment vertical="center"/>
    </xf>
    <xf numFmtId="0" fontId="0" fillId="0" borderId="29" xfId="0" applyBorder="1" applyAlignment="1">
      <alignment vertical="center"/>
    </xf>
    <xf numFmtId="0" fontId="0" fillId="0" borderId="28" xfId="0" applyBorder="1" applyAlignment="1">
      <alignment vertical="center" wrapText="1"/>
    </xf>
    <xf numFmtId="0" fontId="0" fillId="0" borderId="30" xfId="0" applyBorder="1" applyAlignment="1">
      <alignment vertical="center"/>
    </xf>
    <xf numFmtId="43" fontId="0" fillId="0" borderId="31" xfId="1" applyFont="1" applyBorder="1" applyAlignment="1">
      <alignment horizontal="center" vertical="center" wrapText="1"/>
    </xf>
    <xf numFmtId="43" fontId="0" fillId="0" borderId="32" xfId="1" applyFont="1" applyBorder="1" applyAlignment="1">
      <alignment horizontal="center" vertical="center" wrapText="1"/>
    </xf>
    <xf numFmtId="0" fontId="0" fillId="11" borderId="0" xfId="0" applyFill="1"/>
    <xf numFmtId="0" fontId="0" fillId="18" borderId="0" xfId="0" applyFill="1"/>
    <xf numFmtId="0" fontId="15" fillId="2" borderId="0" xfId="0" applyFont="1" applyFill="1" applyAlignment="1">
      <alignment horizontal="right"/>
    </xf>
    <xf numFmtId="0" fontId="28" fillId="2" borderId="0" xfId="0" applyFont="1" applyFill="1" applyAlignment="1">
      <alignment horizontal="right"/>
    </xf>
    <xf numFmtId="44" fontId="0" fillId="0" borderId="4" xfId="2" applyFont="1" applyBorder="1" applyAlignment="1">
      <alignment horizontal="center" vertical="center" wrapText="1"/>
    </xf>
    <xf numFmtId="44" fontId="0" fillId="0" borderId="11" xfId="2" applyFont="1" applyBorder="1" applyAlignment="1">
      <alignment horizontal="center" vertical="center" wrapText="1"/>
    </xf>
    <xf numFmtId="0" fontId="4" fillId="2" borderId="0" xfId="0" applyFont="1" applyFill="1" applyAlignment="1">
      <alignment horizontal="right"/>
    </xf>
    <xf numFmtId="164" fontId="0" fillId="2" borderId="0" xfId="1" applyNumberFormat="1" applyFont="1" applyFill="1"/>
    <xf numFmtId="0" fontId="0" fillId="2" borderId="6" xfId="0" applyFill="1" applyBorder="1" applyAlignment="1">
      <alignment horizontal="center"/>
    </xf>
    <xf numFmtId="0" fontId="0" fillId="13" borderId="6" xfId="0" applyFill="1" applyBorder="1" applyAlignment="1">
      <alignment horizontal="center" vertical="center"/>
    </xf>
    <xf numFmtId="172" fontId="15" fillId="2" borderId="12" xfId="0" applyNumberFormat="1" applyFont="1" applyFill="1" applyBorder="1"/>
    <xf numFmtId="172" fontId="15" fillId="2" borderId="0" xfId="0" applyNumberFormat="1" applyFont="1" applyFill="1"/>
    <xf numFmtId="0" fontId="39" fillId="2" borderId="0" xfId="0" applyFont="1" applyFill="1" applyAlignment="1">
      <alignment horizontal="center"/>
    </xf>
    <xf numFmtId="0" fontId="17" fillId="2" borderId="0" xfId="0" applyFont="1" applyFill="1"/>
    <xf numFmtId="0" fontId="17" fillId="2" borderId="0" xfId="0" applyFont="1" applyFill="1" applyAlignment="1">
      <alignment horizontal="left"/>
    </xf>
    <xf numFmtId="168" fontId="17" fillId="2" borderId="0" xfId="0" applyNumberFormat="1" applyFont="1" applyFill="1"/>
    <xf numFmtId="15" fontId="42" fillId="2" borderId="0" xfId="0" applyNumberFormat="1" applyFont="1" applyFill="1" applyAlignment="1">
      <alignment horizontal="center"/>
    </xf>
    <xf numFmtId="0" fontId="0" fillId="3" borderId="3" xfId="0" applyFill="1" applyBorder="1" applyAlignment="1" applyProtection="1">
      <alignment horizontal="center" vertical="center" wrapText="1"/>
      <protection locked="0"/>
    </xf>
    <xf numFmtId="15" fontId="38" fillId="3" borderId="3" xfId="0" applyNumberFormat="1" applyFont="1" applyFill="1" applyBorder="1" applyAlignment="1" applyProtection="1">
      <alignment horizontal="center" vertical="center"/>
      <protection locked="0"/>
    </xf>
    <xf numFmtId="15" fontId="22" fillId="2" borderId="0" xfId="0" applyNumberFormat="1" applyFont="1" applyFill="1"/>
    <xf numFmtId="10" fontId="22" fillId="2" borderId="0" xfId="3" applyNumberFormat="1" applyFont="1" applyFill="1"/>
    <xf numFmtId="0" fontId="22" fillId="2" borderId="0" xfId="0" applyFont="1" applyFill="1" applyAlignment="1">
      <alignment horizontal="center"/>
    </xf>
    <xf numFmtId="0" fontId="43" fillId="2" borderId="0" xfId="0" applyFont="1" applyFill="1" applyAlignment="1">
      <alignment horizontal="right"/>
    </xf>
    <xf numFmtId="166" fontId="22" fillId="2" borderId="3" xfId="3" applyNumberFormat="1" applyFont="1" applyFill="1" applyBorder="1" applyAlignment="1">
      <alignment horizontal="center"/>
    </xf>
    <xf numFmtId="2" fontId="22" fillId="2" borderId="3" xfId="1" applyNumberFormat="1" applyFont="1" applyFill="1" applyBorder="1" applyAlignment="1">
      <alignment horizontal="center"/>
    </xf>
    <xf numFmtId="44" fontId="22" fillId="2" borderId="0" xfId="0" applyNumberFormat="1" applyFont="1" applyFill="1"/>
    <xf numFmtId="0" fontId="22" fillId="2" borderId="0" xfId="0" applyFont="1" applyFill="1" applyAlignment="1">
      <alignment horizontal="right"/>
    </xf>
    <xf numFmtId="0" fontId="22" fillId="0" borderId="0" xfId="0" applyFont="1"/>
    <xf numFmtId="15" fontId="22" fillId="0" borderId="0" xfId="0" applyNumberFormat="1" applyFont="1"/>
    <xf numFmtId="15" fontId="22" fillId="9" borderId="0" xfId="0" applyNumberFormat="1" applyFont="1" applyFill="1"/>
    <xf numFmtId="172" fontId="22" fillId="2" borderId="15" xfId="0" applyNumberFormat="1" applyFont="1" applyFill="1" applyBorder="1" applyAlignment="1">
      <alignment horizontal="center"/>
    </xf>
    <xf numFmtId="166" fontId="22" fillId="2" borderId="15" xfId="3" applyNumberFormat="1" applyFont="1" applyFill="1" applyBorder="1" applyAlignment="1">
      <alignment horizontal="center"/>
    </xf>
    <xf numFmtId="169" fontId="17" fillId="2" borderId="0" xfId="3" applyNumberFormat="1" applyFont="1" applyFill="1"/>
    <xf numFmtId="169" fontId="17" fillId="2" borderId="0" xfId="3" applyNumberFormat="1" applyFont="1" applyFill="1" applyAlignment="1">
      <alignment horizontal="center"/>
    </xf>
    <xf numFmtId="169" fontId="17" fillId="2" borderId="0" xfId="0" applyNumberFormat="1" applyFont="1" applyFill="1"/>
    <xf numFmtId="164" fontId="17" fillId="2" borderId="0" xfId="1" applyNumberFormat="1" applyFont="1" applyFill="1"/>
    <xf numFmtId="166" fontId="17" fillId="2" borderId="0" xfId="3" applyNumberFormat="1" applyFont="1" applyFill="1"/>
    <xf numFmtId="167" fontId="17" fillId="2" borderId="0" xfId="1" applyNumberFormat="1" applyFont="1" applyFill="1"/>
    <xf numFmtId="43" fontId="17" fillId="2" borderId="0" xfId="0" applyNumberFormat="1" applyFont="1" applyFill="1"/>
    <xf numFmtId="15" fontId="17" fillId="2" borderId="0" xfId="0" applyNumberFormat="1" applyFont="1" applyFill="1"/>
    <xf numFmtId="0" fontId="0" fillId="0" borderId="37" xfId="0" applyBorder="1" applyAlignment="1">
      <alignment horizontal="center"/>
    </xf>
    <xf numFmtId="15" fontId="0" fillId="0" borderId="38" xfId="0" applyNumberFormat="1" applyBorder="1" applyAlignment="1">
      <alignment horizontal="center"/>
    </xf>
    <xf numFmtId="15" fontId="0" fillId="0" borderId="39" xfId="0" applyNumberFormat="1" applyBorder="1" applyAlignment="1">
      <alignment horizontal="center"/>
    </xf>
    <xf numFmtId="166" fontId="0" fillId="2" borderId="5" xfId="3" applyNumberFormat="1" applyFont="1" applyFill="1" applyBorder="1" applyAlignment="1">
      <alignment horizontal="center"/>
    </xf>
    <xf numFmtId="0" fontId="29" fillId="0" borderId="40" xfId="0" applyFont="1" applyBorder="1" applyAlignment="1">
      <alignment horizontal="center"/>
    </xf>
    <xf numFmtId="15" fontId="0" fillId="0" borderId="40" xfId="0" applyNumberFormat="1" applyBorder="1"/>
    <xf numFmtId="164" fontId="0" fillId="0" borderId="40" xfId="1" applyNumberFormat="1" applyFont="1" applyBorder="1"/>
    <xf numFmtId="164" fontId="0" fillId="0" borderId="40" xfId="1" applyNumberFormat="1" applyFont="1" applyFill="1" applyBorder="1"/>
    <xf numFmtId="44" fontId="0" fillId="0" borderId="40" xfId="2" applyFont="1" applyFill="1" applyBorder="1"/>
    <xf numFmtId="166" fontId="0" fillId="2" borderId="40" xfId="3" applyNumberFormat="1" applyFont="1" applyFill="1" applyBorder="1" applyAlignment="1">
      <alignment horizontal="center"/>
    </xf>
    <xf numFmtId="166" fontId="0" fillId="2" borderId="40" xfId="0" applyNumberFormat="1" applyFill="1" applyBorder="1" applyAlignment="1">
      <alignment horizontal="center"/>
    </xf>
    <xf numFmtId="0" fontId="0" fillId="2" borderId="40" xfId="3" applyNumberFormat="1" applyFont="1" applyFill="1" applyBorder="1" applyAlignment="1">
      <alignment horizontal="center"/>
    </xf>
    <xf numFmtId="0" fontId="29" fillId="2" borderId="41" xfId="0" applyFont="1" applyFill="1" applyBorder="1" applyAlignment="1">
      <alignment horizontal="center"/>
    </xf>
    <xf numFmtId="15" fontId="0" fillId="2" borderId="41" xfId="0" applyNumberFormat="1" applyFill="1" applyBorder="1"/>
    <xf numFmtId="10" fontId="0" fillId="2" borderId="41" xfId="3" applyNumberFormat="1" applyFont="1" applyFill="1" applyBorder="1"/>
    <xf numFmtId="166" fontId="0" fillId="2" borderId="41" xfId="3" applyNumberFormat="1" applyFont="1" applyFill="1" applyBorder="1" applyAlignment="1">
      <alignment horizontal="center"/>
    </xf>
    <xf numFmtId="166" fontId="0" fillId="2" borderId="41" xfId="0" applyNumberFormat="1" applyFill="1" applyBorder="1" applyAlignment="1">
      <alignment horizontal="center"/>
    </xf>
    <xf numFmtId="0" fontId="0" fillId="2" borderId="41" xfId="3" applyNumberFormat="1" applyFont="1" applyFill="1" applyBorder="1" applyAlignment="1">
      <alignment horizontal="center"/>
    </xf>
    <xf numFmtId="0" fontId="17" fillId="21" borderId="0" xfId="0" applyFont="1" applyFill="1"/>
    <xf numFmtId="0" fontId="44" fillId="21" borderId="0" xfId="0" applyFont="1" applyFill="1" applyAlignment="1">
      <alignment horizontal="center"/>
    </xf>
    <xf numFmtId="0" fontId="45" fillId="21" borderId="3" xfId="0" applyFont="1" applyFill="1" applyBorder="1" applyAlignment="1">
      <alignment horizontal="center"/>
    </xf>
    <xf numFmtId="0" fontId="30" fillId="21" borderId="23" xfId="0" applyFont="1" applyFill="1" applyBorder="1" applyAlignment="1">
      <alignment horizontal="center"/>
    </xf>
    <xf numFmtId="0" fontId="0" fillId="15" borderId="9" xfId="0" applyFill="1" applyBorder="1" applyAlignment="1" applyProtection="1">
      <alignment horizontal="center" vertical="center" wrapText="1"/>
      <protection locked="0"/>
    </xf>
    <xf numFmtId="0" fontId="35" fillId="22" borderId="24" xfId="0" applyFont="1" applyFill="1" applyBorder="1" applyAlignment="1">
      <alignment horizontal="center"/>
    </xf>
    <xf numFmtId="0" fontId="0" fillId="14" borderId="26" xfId="0" applyFill="1" applyBorder="1" applyAlignment="1" applyProtection="1">
      <alignment horizontal="center" vertical="center" wrapText="1"/>
      <protection locked="0"/>
    </xf>
    <xf numFmtId="0" fontId="0" fillId="15" borderId="9" xfId="0" applyFill="1" applyBorder="1" applyAlignment="1" applyProtection="1">
      <alignment horizontal="center" wrapText="1"/>
      <protection locked="0"/>
    </xf>
    <xf numFmtId="0" fontId="0" fillId="9" borderId="26" xfId="0" applyFill="1" applyBorder="1" applyAlignment="1" applyProtection="1">
      <alignment horizontal="center" wrapText="1"/>
      <protection locked="0"/>
    </xf>
    <xf numFmtId="0" fontId="0" fillId="14" borderId="26" xfId="0" applyFill="1" applyBorder="1" applyAlignment="1" applyProtection="1">
      <alignment horizontal="center" wrapText="1"/>
      <protection locked="0"/>
    </xf>
    <xf numFmtId="43" fontId="19" fillId="0" borderId="3" xfId="1" applyFont="1" applyBorder="1" applyAlignment="1">
      <alignment horizontal="center"/>
    </xf>
    <xf numFmtId="0" fontId="0" fillId="2" borderId="0" xfId="0" applyFill="1" applyAlignment="1">
      <alignment horizontal="left"/>
    </xf>
    <xf numFmtId="168" fontId="0" fillId="2" borderId="0" xfId="0" applyNumberFormat="1" applyFill="1"/>
    <xf numFmtId="0" fontId="12" fillId="2" borderId="0" xfId="0" applyFont="1" applyFill="1" applyAlignment="1">
      <alignment horizontal="center"/>
    </xf>
    <xf numFmtId="166" fontId="0" fillId="2" borderId="0" xfId="3" applyNumberFormat="1" applyFont="1" applyFill="1"/>
    <xf numFmtId="167" fontId="0" fillId="2" borderId="0" xfId="1" applyNumberFormat="1" applyFont="1" applyFill="1"/>
    <xf numFmtId="43" fontId="0" fillId="2" borderId="0" xfId="0" applyNumberFormat="1" applyFill="1"/>
    <xf numFmtId="168" fontId="0" fillId="2" borderId="0" xfId="0" applyNumberFormat="1" applyFill="1" applyAlignment="1">
      <alignment horizontal="left"/>
    </xf>
    <xf numFmtId="164" fontId="0" fillId="2" borderId="0" xfId="0" applyNumberFormat="1" applyFill="1"/>
    <xf numFmtId="0" fontId="17" fillId="0" borderId="0" xfId="0" applyFont="1"/>
    <xf numFmtId="0" fontId="46" fillId="0" borderId="0" xfId="0" applyFont="1"/>
    <xf numFmtId="164" fontId="46" fillId="0" borderId="0" xfId="0" applyNumberFormat="1" applyFont="1" applyAlignment="1">
      <alignment horizontal="center" vertical="center" wrapText="1"/>
    </xf>
    <xf numFmtId="164" fontId="46" fillId="11" borderId="0" xfId="0" applyNumberFormat="1" applyFont="1" applyFill="1" applyAlignment="1">
      <alignment horizontal="center" vertical="center" wrapText="1"/>
    </xf>
    <xf numFmtId="164" fontId="46" fillId="15" borderId="0" xfId="0" applyNumberFormat="1" applyFont="1" applyFill="1" applyAlignment="1">
      <alignment horizontal="center" vertical="center" wrapText="1"/>
    </xf>
    <xf numFmtId="164" fontId="46" fillId="0" borderId="0" xfId="0" applyNumberFormat="1" applyFont="1" applyAlignment="1">
      <alignment wrapText="1"/>
    </xf>
    <xf numFmtId="164" fontId="46" fillId="0" borderId="0" xfId="0" applyNumberFormat="1" applyFont="1"/>
    <xf numFmtId="164" fontId="46" fillId="0" borderId="0" xfId="0" applyNumberFormat="1" applyFont="1" applyAlignment="1">
      <alignment horizontal="center"/>
    </xf>
    <xf numFmtId="164" fontId="46" fillId="17" borderId="0" xfId="0" applyNumberFormat="1" applyFont="1" applyFill="1" applyAlignment="1">
      <alignment horizontal="center" vertical="center" wrapText="1"/>
    </xf>
    <xf numFmtId="0" fontId="17" fillId="0" borderId="0" xfId="0" applyFont="1" applyAlignment="1">
      <alignment horizontal="center"/>
    </xf>
    <xf numFmtId="0" fontId="17" fillId="11" borderId="0" xfId="0" applyFont="1" applyFill="1" applyAlignment="1">
      <alignment horizontal="center"/>
    </xf>
    <xf numFmtId="0" fontId="17" fillId="15" borderId="0" xfId="0" applyFont="1" applyFill="1" applyAlignment="1">
      <alignment horizontal="center"/>
    </xf>
    <xf numFmtId="0" fontId="17" fillId="14" borderId="0" xfId="0" applyFont="1" applyFill="1" applyAlignment="1">
      <alignment horizontal="center"/>
    </xf>
    <xf numFmtId="0" fontId="17" fillId="20" borderId="0" xfId="0" applyFont="1" applyFill="1" applyAlignment="1">
      <alignment horizontal="center"/>
    </xf>
    <xf numFmtId="0" fontId="17" fillId="17" borderId="0" xfId="0" applyFont="1" applyFill="1" applyAlignment="1">
      <alignment horizontal="center"/>
    </xf>
    <xf numFmtId="0" fontId="47" fillId="0" borderId="0" xfId="0" applyFont="1" applyAlignment="1">
      <alignment vertical="center"/>
    </xf>
    <xf numFmtId="164" fontId="46" fillId="14" borderId="13" xfId="1" applyNumberFormat="1" applyFont="1" applyFill="1" applyBorder="1" applyAlignment="1">
      <alignment horizontal="center" vertical="center"/>
    </xf>
    <xf numFmtId="164" fontId="46" fillId="11" borderId="0" xfId="1" applyNumberFormat="1" applyFont="1" applyFill="1" applyBorder="1" applyAlignment="1">
      <alignment horizontal="center" vertical="center"/>
    </xf>
    <xf numFmtId="164" fontId="46" fillId="15" borderId="0" xfId="1" applyNumberFormat="1" applyFont="1" applyFill="1" applyBorder="1" applyAlignment="1">
      <alignment horizontal="center" vertical="center"/>
    </xf>
    <xf numFmtId="164" fontId="46" fillId="4" borderId="14" xfId="1" applyNumberFormat="1" applyFont="1" applyFill="1" applyBorder="1" applyAlignment="1">
      <alignment horizontal="center" vertical="center" wrapText="1"/>
    </xf>
    <xf numFmtId="164" fontId="46" fillId="17" borderId="0" xfId="1" applyNumberFormat="1" applyFont="1" applyFill="1" applyAlignment="1">
      <alignment horizontal="center" vertical="center"/>
    </xf>
    <xf numFmtId="164" fontId="46" fillId="14" borderId="13" xfId="1" applyNumberFormat="1" applyFont="1" applyFill="1" applyBorder="1" applyAlignment="1">
      <alignment horizontal="center" vertical="center" wrapText="1"/>
    </xf>
    <xf numFmtId="15" fontId="42" fillId="0" borderId="0" xfId="0" applyNumberFormat="1" applyFont="1" applyAlignment="1">
      <alignment horizontal="center"/>
    </xf>
    <xf numFmtId="164" fontId="17" fillId="0" borderId="0" xfId="1" applyNumberFormat="1" applyFont="1"/>
    <xf numFmtId="164" fontId="17" fillId="11" borderId="0" xfId="1" applyNumberFormat="1" applyFont="1" applyFill="1"/>
    <xf numFmtId="164" fontId="17" fillId="15" borderId="0" xfId="1" applyNumberFormat="1" applyFont="1" applyFill="1"/>
    <xf numFmtId="164" fontId="17" fillId="17" borderId="0" xfId="1" applyNumberFormat="1" applyFont="1" applyFill="1"/>
    <xf numFmtId="43" fontId="17" fillId="0" borderId="0" xfId="1" applyFont="1"/>
    <xf numFmtId="15" fontId="17" fillId="0" borderId="0" xfId="0" applyNumberFormat="1" applyFont="1"/>
    <xf numFmtId="15" fontId="42" fillId="6" borderId="0" xfId="0" applyNumberFormat="1" applyFont="1" applyFill="1" applyAlignment="1">
      <alignment horizontal="center"/>
    </xf>
    <xf numFmtId="0" fontId="17" fillId="6" borderId="0" xfId="0" applyFont="1" applyFill="1"/>
    <xf numFmtId="0" fontId="17" fillId="15" borderId="0" xfId="0" applyFont="1" applyFill="1"/>
    <xf numFmtId="0" fontId="17" fillId="17" borderId="0" xfId="0" applyFont="1" applyFill="1"/>
    <xf numFmtId="164" fontId="46" fillId="5" borderId="0" xfId="0" applyNumberFormat="1" applyFont="1" applyFill="1" applyAlignment="1">
      <alignment horizontal="center" vertical="center" wrapText="1"/>
    </xf>
    <xf numFmtId="0" fontId="44" fillId="0" borderId="0" xfId="0" applyFont="1" applyAlignment="1">
      <alignment horizontal="center"/>
    </xf>
    <xf numFmtId="0" fontId="44" fillId="15" borderId="0" xfId="0" applyFont="1" applyFill="1" applyAlignment="1">
      <alignment horizontal="center"/>
    </xf>
    <xf numFmtId="0" fontId="42" fillId="0" borderId="0" xfId="0" applyFont="1" applyAlignment="1">
      <alignment horizontal="center"/>
    </xf>
    <xf numFmtId="0" fontId="44" fillId="0" borderId="0" xfId="0" applyFont="1" applyAlignment="1">
      <alignment horizontal="center" wrapText="1"/>
    </xf>
    <xf numFmtId="0" fontId="44" fillId="0" borderId="0" xfId="0" applyFont="1" applyAlignment="1">
      <alignment horizontal="left"/>
    </xf>
    <xf numFmtId="0" fontId="44" fillId="0" borderId="0" xfId="0" applyFont="1" applyAlignment="1">
      <alignment horizontal="right"/>
    </xf>
    <xf numFmtId="0" fontId="17" fillId="14" borderId="15" xfId="0" applyFont="1" applyFill="1" applyBorder="1" applyAlignment="1">
      <alignment horizontal="center" vertical="center"/>
    </xf>
    <xf numFmtId="0" fontId="17" fillId="14" borderId="15" xfId="0" applyFont="1" applyFill="1" applyBorder="1" applyAlignment="1">
      <alignment horizontal="center" vertical="center" wrapText="1"/>
    </xf>
    <xf numFmtId="166" fontId="17" fillId="14" borderId="15" xfId="3" applyNumberFormat="1" applyFont="1" applyFill="1" applyBorder="1" applyAlignment="1">
      <alignment horizontal="center" vertical="center"/>
    </xf>
    <xf numFmtId="166" fontId="17" fillId="14" borderId="15" xfId="3" applyNumberFormat="1" applyFont="1" applyFill="1" applyBorder="1" applyAlignment="1">
      <alignment horizontal="center" wrapText="1"/>
    </xf>
    <xf numFmtId="0" fontId="44" fillId="14" borderId="15" xfId="0" applyFont="1" applyFill="1" applyBorder="1" applyAlignment="1">
      <alignment horizontal="center" vertical="center" wrapText="1"/>
    </xf>
    <xf numFmtId="15" fontId="42" fillId="12" borderId="0" xfId="0" applyNumberFormat="1" applyFont="1" applyFill="1" applyAlignment="1">
      <alignment horizontal="center"/>
    </xf>
    <xf numFmtId="164" fontId="17" fillId="0" borderId="0" xfId="1" applyNumberFormat="1" applyFont="1" applyAlignment="1">
      <alignment horizontal="center"/>
    </xf>
    <xf numFmtId="166" fontId="17" fillId="0" borderId="0" xfId="3" applyNumberFormat="1" applyFont="1" applyAlignment="1">
      <alignment horizontal="center"/>
    </xf>
    <xf numFmtId="0" fontId="44" fillId="18" borderId="0" xfId="0" applyFont="1" applyFill="1" applyAlignment="1">
      <alignment horizontal="center"/>
    </xf>
    <xf numFmtId="166" fontId="17" fillId="18" borderId="0" xfId="3" applyNumberFormat="1" applyFont="1" applyFill="1" applyAlignment="1">
      <alignment horizontal="center"/>
    </xf>
    <xf numFmtId="15" fontId="42" fillId="3" borderId="0" xfId="0" applyNumberFormat="1" applyFont="1" applyFill="1" applyAlignment="1">
      <alignment horizontal="center"/>
    </xf>
    <xf numFmtId="10" fontId="44" fillId="0" borderId="0" xfId="3" applyNumberFormat="1" applyFont="1" applyAlignment="1">
      <alignment horizontal="center"/>
    </xf>
    <xf numFmtId="15" fontId="42" fillId="0" borderId="0" xfId="0" applyNumberFormat="1" applyFont="1" applyAlignment="1">
      <alignment horizontal="center" wrapText="1"/>
    </xf>
    <xf numFmtId="15" fontId="17" fillId="0" borderId="0" xfId="0" applyNumberFormat="1" applyFont="1" applyAlignment="1">
      <alignment horizontal="center"/>
    </xf>
    <xf numFmtId="0" fontId="48" fillId="0" borderId="0" xfId="0" applyFont="1"/>
    <xf numFmtId="0" fontId="17" fillId="0" borderId="0" xfId="1" applyNumberFormat="1" applyFont="1" applyAlignment="1">
      <alignment horizontal="center"/>
    </xf>
    <xf numFmtId="166" fontId="17" fillId="0" borderId="0" xfId="3" applyNumberFormat="1" applyFont="1"/>
    <xf numFmtId="166" fontId="17" fillId="0" borderId="0" xfId="0" applyNumberFormat="1" applyFont="1"/>
    <xf numFmtId="15" fontId="17" fillId="3" borderId="0" xfId="0" applyNumberFormat="1" applyFont="1" applyFill="1"/>
    <xf numFmtId="0" fontId="44" fillId="7" borderId="0" xfId="0" applyFont="1" applyFill="1" applyAlignment="1">
      <alignment horizontal="center"/>
    </xf>
    <xf numFmtId="17" fontId="42" fillId="12" borderId="0" xfId="0" applyNumberFormat="1" applyFont="1" applyFill="1" applyAlignment="1">
      <alignment horizontal="center"/>
    </xf>
    <xf numFmtId="17" fontId="42" fillId="3" borderId="0" xfId="0" applyNumberFormat="1" applyFont="1" applyFill="1" applyAlignment="1">
      <alignment horizontal="center"/>
    </xf>
    <xf numFmtId="164" fontId="17" fillId="0" borderId="0" xfId="0" applyNumberFormat="1" applyFont="1" applyAlignment="1">
      <alignment wrapText="1"/>
    </xf>
    <xf numFmtId="0" fontId="44" fillId="4" borderId="0" xfId="0" applyFont="1" applyFill="1" applyAlignment="1">
      <alignment horizontal="center"/>
    </xf>
    <xf numFmtId="0" fontId="45" fillId="0" borderId="3" xfId="0" applyFont="1" applyBorder="1" applyAlignment="1">
      <alignment horizontal="center"/>
    </xf>
    <xf numFmtId="166" fontId="45" fillId="0" borderId="3" xfId="0" applyNumberFormat="1" applyFont="1" applyBorder="1" applyAlignment="1">
      <alignment horizontal="center"/>
    </xf>
    <xf numFmtId="0" fontId="42" fillId="2" borderId="0" xfId="0" applyFont="1" applyFill="1" applyAlignment="1">
      <alignment horizontal="center"/>
    </xf>
    <xf numFmtId="0" fontId="42" fillId="2" borderId="0" xfId="0" applyFont="1" applyFill="1"/>
    <xf numFmtId="0" fontId="42" fillId="2" borderId="0" xfId="0" applyFont="1" applyFill="1" applyAlignment="1">
      <alignment vertical="center" wrapText="1"/>
    </xf>
    <xf numFmtId="0" fontId="42" fillId="10" borderId="0" xfId="0" applyFont="1" applyFill="1"/>
    <xf numFmtId="0" fontId="50" fillId="2" borderId="0" xfId="0" applyFont="1" applyFill="1"/>
    <xf numFmtId="0" fontId="50" fillId="2" borderId="0" xfId="0" applyFont="1" applyFill="1" applyAlignment="1">
      <alignment horizontal="right" vertical="center"/>
    </xf>
    <xf numFmtId="166" fontId="45" fillId="2" borderId="0" xfId="0" applyNumberFormat="1" applyFont="1" applyFill="1" applyAlignment="1">
      <alignment horizontal="center" vertical="center"/>
    </xf>
    <xf numFmtId="0" fontId="50" fillId="2" borderId="0" xfId="0" applyFont="1" applyFill="1" applyAlignment="1">
      <alignment horizontal="right"/>
    </xf>
    <xf numFmtId="10" fontId="49" fillId="2" borderId="0" xfId="6" applyNumberFormat="1" applyFont="1" applyFill="1" applyAlignment="1">
      <alignment horizontal="center"/>
    </xf>
    <xf numFmtId="17" fontId="42" fillId="2" borderId="0" xfId="0" applyNumberFormat="1" applyFont="1" applyFill="1"/>
    <xf numFmtId="0" fontId="42" fillId="0" borderId="0" xfId="0" applyFont="1"/>
    <xf numFmtId="17" fontId="42" fillId="0" borderId="0" xfId="0" applyNumberFormat="1" applyFont="1" applyAlignment="1">
      <alignment horizontal="center"/>
    </xf>
    <xf numFmtId="9" fontId="17" fillId="0" borderId="0" xfId="3" applyFont="1"/>
    <xf numFmtId="44" fontId="17" fillId="0" borderId="0" xfId="2" applyFont="1"/>
    <xf numFmtId="0" fontId="3" fillId="0" borderId="0" xfId="0" applyFont="1"/>
    <xf numFmtId="10" fontId="17" fillId="0" borderId="0" xfId="0" applyNumberFormat="1" applyFont="1"/>
    <xf numFmtId="10" fontId="17" fillId="0" borderId="0" xfId="2" applyNumberFormat="1" applyFont="1"/>
    <xf numFmtId="0" fontId="44" fillId="2" borderId="6" xfId="0" applyFont="1" applyFill="1" applyBorder="1" applyAlignment="1">
      <alignment horizontal="center" vertical="center"/>
    </xf>
    <xf numFmtId="0" fontId="17" fillId="0" borderId="0" xfId="0" applyFont="1" applyAlignment="1">
      <alignment horizontal="right"/>
    </xf>
    <xf numFmtId="15" fontId="42" fillId="3" borderId="6" xfId="0" applyNumberFormat="1" applyFont="1" applyFill="1" applyBorder="1" applyAlignment="1">
      <alignment horizontal="center"/>
    </xf>
    <xf numFmtId="15" fontId="42" fillId="2" borderId="6" xfId="0" applyNumberFormat="1" applyFont="1" applyFill="1" applyBorder="1" applyAlignment="1">
      <alignment horizontal="center"/>
    </xf>
    <xf numFmtId="0" fontId="17" fillId="0" borderId="0" xfId="0" applyFont="1" applyAlignment="1">
      <alignment vertical="center"/>
    </xf>
    <xf numFmtId="0" fontId="17" fillId="0" borderId="0" xfId="0" applyFont="1" applyAlignment="1">
      <alignment horizontal="center" wrapText="1"/>
    </xf>
    <xf numFmtId="166" fontId="42" fillId="0" borderId="0" xfId="0" applyNumberFormat="1" applyFont="1" applyAlignment="1">
      <alignment horizontal="center" vertical="center"/>
    </xf>
    <xf numFmtId="0" fontId="17" fillId="0" borderId="6" xfId="0" applyFont="1" applyBorder="1"/>
    <xf numFmtId="0" fontId="17" fillId="0" borderId="6" xfId="0" applyFont="1" applyBorder="1" applyAlignment="1">
      <alignment wrapText="1"/>
    </xf>
    <xf numFmtId="0" fontId="17" fillId="0" borderId="6" xfId="0" applyFont="1" applyBorder="1" applyAlignment="1">
      <alignment horizontal="center" vertical="center" wrapText="1"/>
    </xf>
    <xf numFmtId="0" fontId="3" fillId="0" borderId="0" xfId="0" applyFont="1" applyAlignment="1">
      <alignment horizontal="center"/>
    </xf>
    <xf numFmtId="20" fontId="17" fillId="0" borderId="0" xfId="0" applyNumberFormat="1" applyFont="1"/>
    <xf numFmtId="10" fontId="17" fillId="0" borderId="0" xfId="3" applyNumberFormat="1" applyFont="1"/>
    <xf numFmtId="165" fontId="17" fillId="0" borderId="0" xfId="2" applyNumberFormat="1" applyFont="1"/>
    <xf numFmtId="0" fontId="17" fillId="0" borderId="0" xfId="0" applyFont="1" applyAlignment="1">
      <alignment horizontal="center" vertical="center"/>
    </xf>
    <xf numFmtId="14" fontId="17" fillId="0" borderId="0" xfId="0" applyNumberFormat="1" applyFont="1" applyAlignment="1">
      <alignment horizontal="center"/>
    </xf>
    <xf numFmtId="0" fontId="17" fillId="9" borderId="0" xfId="0" applyFont="1" applyFill="1" applyAlignment="1">
      <alignment horizontal="center"/>
    </xf>
    <xf numFmtId="43" fontId="0" fillId="0" borderId="4" xfId="1" applyFont="1" applyBorder="1" applyAlignment="1">
      <alignment horizontal="center" vertical="center"/>
    </xf>
    <xf numFmtId="43" fontId="0" fillId="0" borderId="10" xfId="1" applyFont="1" applyBorder="1" applyAlignment="1">
      <alignment horizontal="center" vertical="center"/>
    </xf>
    <xf numFmtId="43" fontId="0" fillId="0" borderId="5" xfId="1" applyFont="1" applyBorder="1" applyAlignment="1">
      <alignment horizontal="center" vertical="center"/>
    </xf>
    <xf numFmtId="0" fontId="3" fillId="22" borderId="0" xfId="0" applyFont="1" applyFill="1" applyAlignment="1">
      <alignment horizontal="center"/>
    </xf>
    <xf numFmtId="0" fontId="14" fillId="2" borderId="0" xfId="0" applyFont="1" applyFill="1" applyAlignment="1">
      <alignment horizontal="left" vertical="center" wrapText="1"/>
    </xf>
    <xf numFmtId="43" fontId="0" fillId="0" borderId="4" xfId="1" applyFont="1" applyBorder="1" applyAlignment="1">
      <alignment horizontal="center" vertical="center" wrapText="1"/>
    </xf>
    <xf numFmtId="43" fontId="0" fillId="0" borderId="10" xfId="1" applyFont="1" applyBorder="1" applyAlignment="1">
      <alignment horizontal="center" vertical="center" wrapText="1"/>
    </xf>
    <xf numFmtId="43" fontId="0" fillId="0" borderId="5" xfId="1" applyFont="1" applyBorder="1" applyAlignment="1">
      <alignment horizontal="center" vertical="center" wrapText="1"/>
    </xf>
    <xf numFmtId="0" fontId="17" fillId="2" borderId="0" xfId="0" applyFont="1" applyFill="1" applyAlignment="1">
      <alignment horizontal="left" wrapText="1"/>
    </xf>
    <xf numFmtId="0" fontId="0" fillId="0" borderId="4" xfId="0" applyBorder="1" applyAlignment="1">
      <alignment horizontal="left" vertical="center"/>
    </xf>
    <xf numFmtId="0" fontId="0" fillId="0" borderId="5" xfId="0" applyBorder="1" applyAlignment="1">
      <alignment horizontal="left" vertical="center"/>
    </xf>
    <xf numFmtId="0" fontId="20" fillId="0" borderId="7" xfId="0" applyFont="1" applyBorder="1" applyAlignment="1">
      <alignment horizontal="center" vertical="center" wrapText="1"/>
    </xf>
    <xf numFmtId="44" fontId="0" fillId="0" borderId="4" xfId="2" applyFont="1" applyBorder="1" applyAlignment="1">
      <alignment horizontal="center" vertical="center"/>
    </xf>
    <xf numFmtId="44" fontId="0" fillId="0" borderId="10" xfId="2" applyFont="1" applyBorder="1" applyAlignment="1">
      <alignment horizontal="center" vertical="center"/>
    </xf>
    <xf numFmtId="44" fontId="0" fillId="0" borderId="5" xfId="2" applyFont="1" applyBorder="1" applyAlignment="1">
      <alignment horizontal="center" vertical="center"/>
    </xf>
    <xf numFmtId="0" fontId="0" fillId="2" borderId="15" xfId="0" applyFill="1" applyBorder="1" applyAlignment="1">
      <alignment horizontal="center" wrapText="1"/>
    </xf>
    <xf numFmtId="0" fontId="14" fillId="2" borderId="0" xfId="0" applyFont="1" applyFill="1" applyAlignment="1">
      <alignment horizontal="left"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0" fillId="2" borderId="0" xfId="0" applyFill="1" applyAlignment="1">
      <alignment horizontal="center"/>
    </xf>
    <xf numFmtId="0" fontId="0" fillId="3" borderId="1"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2" xfId="0" applyFill="1" applyBorder="1" applyAlignment="1" applyProtection="1">
      <alignment horizontal="center"/>
      <protection locked="0"/>
    </xf>
    <xf numFmtId="0" fontId="0" fillId="0" borderId="9" xfId="0" applyBorder="1" applyAlignment="1">
      <alignment horizontal="left"/>
    </xf>
    <xf numFmtId="0" fontId="0" fillId="0" borderId="10" xfId="0" applyBorder="1" applyAlignment="1">
      <alignment horizontal="left"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3" fillId="21" borderId="0" xfId="0" applyFont="1" applyFill="1" applyAlignment="1">
      <alignment horizontal="center"/>
    </xf>
    <xf numFmtId="0" fontId="0" fillId="0" borderId="3" xfId="0" applyBorder="1" applyAlignment="1">
      <alignment horizontal="left" vertical="center"/>
    </xf>
    <xf numFmtId="20" fontId="6" fillId="0" borderId="4" xfId="0" applyNumberFormat="1" applyFont="1" applyBorder="1" applyAlignment="1">
      <alignment horizontal="center" vertical="center" wrapText="1"/>
    </xf>
    <xf numFmtId="20" fontId="6" fillId="0" borderId="10" xfId="0" applyNumberFormat="1" applyFont="1" applyBorder="1" applyAlignment="1">
      <alignment horizontal="center" vertical="center" wrapText="1"/>
    </xf>
    <xf numFmtId="20" fontId="6" fillId="0" borderId="5" xfId="0" applyNumberFormat="1" applyFont="1" applyBorder="1" applyAlignment="1">
      <alignment horizontal="center" vertical="center" wrapText="1"/>
    </xf>
    <xf numFmtId="0" fontId="31" fillId="22" borderId="22" xfId="0" applyFont="1" applyFill="1" applyBorder="1" applyAlignment="1">
      <alignment horizontal="center" vertical="center"/>
    </xf>
    <xf numFmtId="0" fontId="31" fillId="22" borderId="25" xfId="0" applyFont="1" applyFill="1" applyBorder="1" applyAlignment="1">
      <alignment horizontal="center" vertical="center"/>
    </xf>
    <xf numFmtId="0" fontId="22" fillId="3" borderId="0" xfId="0" applyFont="1" applyFill="1" applyAlignment="1">
      <alignment horizontal="center"/>
    </xf>
    <xf numFmtId="0" fontId="28" fillId="8" borderId="0" xfId="0" applyFont="1" applyFill="1" applyAlignment="1">
      <alignment horizont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0" fillId="2" borderId="0" xfId="0" applyFill="1" applyAlignment="1">
      <alignment horizontal="left" vertical="center" wrapText="1"/>
    </xf>
    <xf numFmtId="0" fontId="0" fillId="19" borderId="0" xfId="0" applyFill="1" applyAlignment="1">
      <alignment horizontal="center"/>
    </xf>
    <xf numFmtId="0" fontId="0" fillId="11" borderId="0" xfId="0" applyFill="1" applyAlignment="1">
      <alignment horizontal="center"/>
    </xf>
    <xf numFmtId="0" fontId="0" fillId="15" borderId="0" xfId="0" applyFill="1" applyAlignment="1">
      <alignment horizontal="center"/>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0" fillId="16" borderId="9" xfId="0" applyFill="1" applyBorder="1" applyAlignment="1">
      <alignment horizontal="center"/>
    </xf>
    <xf numFmtId="0" fontId="0" fillId="15" borderId="9" xfId="0" applyFill="1" applyBorder="1" applyAlignment="1">
      <alignment horizontal="center"/>
    </xf>
    <xf numFmtId="0" fontId="28" fillId="8" borderId="9" xfId="0" applyFont="1" applyFill="1" applyBorder="1" applyAlignment="1">
      <alignment horizontal="center"/>
    </xf>
    <xf numFmtId="0" fontId="22" fillId="3" borderId="9" xfId="0" applyFont="1" applyFill="1" applyBorder="1" applyAlignment="1">
      <alignment horizontal="center"/>
    </xf>
    <xf numFmtId="0" fontId="0" fillId="4" borderId="9" xfId="0" applyFill="1" applyBorder="1" applyAlignment="1">
      <alignment horizontal="center"/>
    </xf>
    <xf numFmtId="166" fontId="40" fillId="2" borderId="35" xfId="3" applyNumberFormat="1" applyFont="1" applyFill="1" applyBorder="1" applyAlignment="1">
      <alignment horizontal="center" vertical="center"/>
    </xf>
    <xf numFmtId="166" fontId="40" fillId="2" borderId="36" xfId="3" applyNumberFormat="1" applyFont="1" applyFill="1" applyBorder="1" applyAlignment="1">
      <alignment horizontal="center" vertical="center"/>
    </xf>
    <xf numFmtId="0" fontId="0" fillId="2" borderId="6" xfId="0" applyFill="1" applyBorder="1" applyAlignment="1">
      <alignment horizontal="center" vertical="center" wrapText="1"/>
    </xf>
    <xf numFmtId="0" fontId="0" fillId="4" borderId="6" xfId="0" applyFill="1" applyBorder="1" applyAlignment="1">
      <alignment horizontal="center"/>
    </xf>
    <xf numFmtId="166" fontId="41" fillId="0" borderId="6" xfId="3" applyNumberFormat="1" applyFont="1" applyBorder="1" applyAlignment="1">
      <alignment horizontal="center" vertical="center"/>
    </xf>
    <xf numFmtId="166" fontId="0" fillId="2" borderId="35" xfId="3" applyNumberFormat="1" applyFont="1" applyFill="1" applyBorder="1" applyAlignment="1">
      <alignment horizontal="center" vertical="center"/>
    </xf>
    <xf numFmtId="166" fontId="0" fillId="2" borderId="36" xfId="3" applyNumberFormat="1" applyFont="1" applyFill="1" applyBorder="1" applyAlignment="1">
      <alignment horizontal="center" vertical="center"/>
    </xf>
    <xf numFmtId="172" fontId="0" fillId="2" borderId="35" xfId="1" applyNumberFormat="1" applyFont="1" applyFill="1" applyBorder="1" applyAlignment="1">
      <alignment horizontal="center" vertical="center"/>
    </xf>
    <xf numFmtId="172" fontId="0" fillId="2" borderId="36" xfId="1" applyNumberFormat="1" applyFont="1" applyFill="1" applyBorder="1" applyAlignment="1">
      <alignment horizontal="center" vertical="center"/>
    </xf>
    <xf numFmtId="0" fontId="49" fillId="0" borderId="7" xfId="0" applyFont="1" applyBorder="1" applyAlignment="1">
      <alignment horizontal="center" vertical="center" wrapText="1"/>
    </xf>
  </cellXfs>
  <cellStyles count="21">
    <cellStyle name="Euro" xfId="7" xr:uid="{00000000-0005-0000-0000-000000000000}"/>
    <cellStyle name="Millares" xfId="1" builtinId="3"/>
    <cellStyle name="Millares 2" xfId="8" xr:uid="{00000000-0005-0000-0000-000003000000}"/>
    <cellStyle name="Millares 3" xfId="9" xr:uid="{00000000-0005-0000-0000-000004000000}"/>
    <cellStyle name="Millares 4" xfId="16" xr:uid="{00000000-0005-0000-0000-000005000000}"/>
    <cellStyle name="Moneda" xfId="2" builtinId="4"/>
    <cellStyle name="Moneda 2" xfId="5" xr:uid="{00000000-0005-0000-0000-000007000000}"/>
    <cellStyle name="Moneda 3" xfId="20" xr:uid="{A6A0DD95-5453-4C9E-9713-B94D7E89DE22}"/>
    <cellStyle name="Normal" xfId="0" builtinId="0"/>
    <cellStyle name="Normal 17" xfId="17" xr:uid="{329D0399-897D-4F05-B6AC-E9EAADD16388}"/>
    <cellStyle name="Normal 2" xfId="4" xr:uid="{00000000-0005-0000-0000-000009000000}"/>
    <cellStyle name="Normal 3" xfId="10" xr:uid="{00000000-0005-0000-0000-00000A000000}"/>
    <cellStyle name="Normal 4" xfId="11" xr:uid="{00000000-0005-0000-0000-00000B000000}"/>
    <cellStyle name="Normal 5" xfId="12" xr:uid="{00000000-0005-0000-0000-00000C000000}"/>
    <cellStyle name="Normal 6" xfId="13" xr:uid="{00000000-0005-0000-0000-00000D000000}"/>
    <cellStyle name="Normal 7" xfId="15" xr:uid="{00000000-0005-0000-0000-00000E000000}"/>
    <cellStyle name="Normal 8" xfId="18" xr:uid="{0F3D8E99-5124-4083-B88F-DBE9AA99A1EE}"/>
    <cellStyle name="Porcentaje" xfId="3" builtinId="5"/>
    <cellStyle name="Porcentaje 2" xfId="19" xr:uid="{31643CA4-DFFC-4C77-A6B5-23FB4FE2FE83}"/>
    <cellStyle name="Porcentual 2" xfId="6" xr:uid="{00000000-0005-0000-0000-000010000000}"/>
    <cellStyle name="Porcentual 3" xfId="14" xr:uid="{00000000-0005-0000-0000-000011000000}"/>
  </cellStyles>
  <dxfs count="6">
    <dxf>
      <font>
        <color rgb="FF002060"/>
      </font>
      <fill>
        <patternFill>
          <bgColor theme="8" tint="0.79998168889431442"/>
        </patternFill>
      </fill>
    </dxf>
    <dxf>
      <font>
        <color rgb="FF9C0006"/>
      </font>
      <fill>
        <patternFill>
          <bgColor rgb="FFFFC7CE"/>
        </patternFill>
      </fill>
    </dxf>
    <dxf>
      <font>
        <color rgb="FF002060"/>
      </font>
      <fill>
        <patternFill>
          <bgColor theme="8" tint="0.79998168889431442"/>
        </patternFill>
      </fill>
    </dxf>
    <dxf>
      <font>
        <color rgb="FF9C0006"/>
      </font>
      <fill>
        <patternFill>
          <bgColor rgb="FFFFC7CE"/>
        </patternFill>
      </fill>
    </dxf>
    <dxf>
      <font>
        <color rgb="FF002060"/>
      </font>
      <fill>
        <patternFill>
          <bgColor theme="8" tint="0.79998168889431442"/>
        </patternFill>
      </fill>
    </dxf>
    <dxf>
      <font>
        <color rgb="FF9C0006"/>
      </font>
      <fill>
        <patternFill>
          <bgColor rgb="FFFFC7CE"/>
        </patternFill>
      </fill>
    </dxf>
  </dxfs>
  <tableStyles count="0" defaultTableStyle="TableStyleMedium9" defaultPivotStyle="PivotStyleLight16"/>
  <colors>
    <mruColors>
      <color rgb="FFFF6600"/>
      <color rgb="FF00FF00"/>
      <color rgb="FFFF00FF"/>
      <color rgb="FFFFFFCC"/>
      <color rgb="FFFFFF00"/>
      <color rgb="FF0000FF"/>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_rels/chart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GRAFICAS!$A$280</c:f>
          <c:strCache>
            <c:ptCount val="1"/>
            <c:pt idx="0">
              <c:v>MVFANG+ BF-1 Rendimiento Efectivo del 30-abr-25 al 30-abr-26</c:v>
            </c:pt>
          </c:strCache>
        </c:strRef>
      </c:tx>
      <c:overlay val="0"/>
      <c:txPr>
        <a:bodyPr/>
        <a:lstStyle/>
        <a:p>
          <a:pPr>
            <a:defRPr sz="1600"/>
          </a:pPr>
          <a:endParaRPr lang="es-MX"/>
        </a:p>
      </c:txPr>
    </c:title>
    <c:autoTitleDeleted val="0"/>
    <c:plotArea>
      <c:layout/>
      <c:areaChart>
        <c:grouping val="standard"/>
        <c:varyColors val="0"/>
        <c:ser>
          <c:idx val="1"/>
          <c:order val="1"/>
          <c:tx>
            <c:strRef>
              <c:f>GRAFICAS!$A$157</c:f>
              <c:strCache>
                <c:ptCount val="1"/>
                <c:pt idx="0">
                  <c:v>Acumulado</c:v>
                </c:pt>
              </c:strCache>
            </c:strRef>
          </c:tx>
          <c:spPr>
            <a:solidFill>
              <a:schemeClr val="bg1">
                <a:lumMod val="75000"/>
                <a:alpha val="66000"/>
              </a:schemeClr>
            </a:solidFill>
            <a:ln w="19050">
              <a:solidFill>
                <a:schemeClr val="bg1">
                  <a:lumMod val="75000"/>
                </a:schemeClr>
              </a:solidFill>
            </a:ln>
          </c:spPr>
          <c:val>
            <c:numRef>
              <c:f>GRAFICAS!$B$157:$M$157</c:f>
              <c:numCache>
                <c:formatCode>#,##0.00%;\(#,##0.00%\)</c:formatCode>
                <c:ptCount val="12"/>
                <c:pt idx="0">
                  <c:v>7.5465348136034338E-2</c:v>
                </c:pt>
                <c:pt idx="1">
                  <c:v>0.12324955827971285</c:v>
                </c:pt>
                <c:pt idx="2">
                  <c:v>0.16162183842227229</c:v>
                </c:pt>
                <c:pt idx="3">
                  <c:v>0.16134737144775602</c:v>
                </c:pt>
                <c:pt idx="4">
                  <c:v>0.20537808234172616</c:v>
                </c:pt>
                <c:pt idx="5">
                  <c:v>0.28155492075991395</c:v>
                </c:pt>
                <c:pt idx="6">
                  <c:v>0.22103903720906293</c:v>
                </c:pt>
                <c:pt idx="7">
                  <c:v>0.19747245323646379</c:v>
                </c:pt>
                <c:pt idx="8">
                  <c:v>0.16321554397965676</c:v>
                </c:pt>
                <c:pt idx="9">
                  <c:v>0.12051550779249331</c:v>
                </c:pt>
                <c:pt idx="10">
                  <c:v>0.11512582595362963</c:v>
                </c:pt>
                <c:pt idx="11">
                  <c:v>0.25619368219501704</c:v>
                </c:pt>
              </c:numCache>
            </c:numRef>
          </c:val>
          <c:extLst>
            <c:ext xmlns:c16="http://schemas.microsoft.com/office/drawing/2014/chart" uri="{C3380CC4-5D6E-409C-BE32-E72D297353CC}">
              <c16:uniqueId val="{00000000-9EDC-4F61-8308-73615DFF2DB0}"/>
            </c:ext>
          </c:extLst>
        </c:ser>
        <c:dLbls>
          <c:showLegendKey val="0"/>
          <c:showVal val="0"/>
          <c:showCatName val="0"/>
          <c:showSerName val="0"/>
          <c:showPercent val="0"/>
          <c:showBubbleSize val="0"/>
        </c:dLbls>
        <c:axId val="274567168"/>
        <c:axId val="274933248"/>
      </c:areaChart>
      <c:barChart>
        <c:barDir val="col"/>
        <c:grouping val="clustered"/>
        <c:varyColors val="0"/>
        <c:ser>
          <c:idx val="0"/>
          <c:order val="0"/>
          <c:tx>
            <c:strRef>
              <c:f>GRAFICAS!$A$156</c:f>
              <c:strCache>
                <c:ptCount val="1"/>
                <c:pt idx="0">
                  <c:v>Mes</c:v>
                </c:pt>
              </c:strCache>
            </c:strRef>
          </c:tx>
          <c:spPr>
            <a:solidFill>
              <a:srgbClr val="FF6600">
                <a:alpha val="80000"/>
              </a:srgbClr>
            </a:solidFill>
            <a:effectLst/>
            <a:scene3d>
              <a:camera prst="orthographicFront"/>
              <a:lightRig rig="threePt" dir="t"/>
            </a:scene3d>
            <a:sp3d>
              <a:bevelT/>
            </a:sp3d>
          </c:spPr>
          <c:invertIfNegative val="0"/>
          <c:dLbls>
            <c:delete val="1"/>
          </c:dLbls>
          <c:cat>
            <c:numRef>
              <c:f>GRAFICAS!$B$155:$M$155</c:f>
              <c:numCache>
                <c:formatCode>[$-C0A]mmm\-yy;@</c:formatCode>
                <c:ptCount val="12"/>
                <c:pt idx="0">
                  <c:v>45807</c:v>
                </c:pt>
                <c:pt idx="1">
                  <c:v>45838</c:v>
                </c:pt>
                <c:pt idx="2">
                  <c:v>45869</c:v>
                </c:pt>
                <c:pt idx="3">
                  <c:v>45898</c:v>
                </c:pt>
                <c:pt idx="4">
                  <c:v>45930</c:v>
                </c:pt>
                <c:pt idx="5">
                  <c:v>45961</c:v>
                </c:pt>
                <c:pt idx="6">
                  <c:v>45989</c:v>
                </c:pt>
                <c:pt idx="7">
                  <c:v>46022</c:v>
                </c:pt>
                <c:pt idx="8">
                  <c:v>46052</c:v>
                </c:pt>
                <c:pt idx="9">
                  <c:v>46080</c:v>
                </c:pt>
                <c:pt idx="10">
                  <c:v>46112</c:v>
                </c:pt>
                <c:pt idx="11">
                  <c:v>46142</c:v>
                </c:pt>
              </c:numCache>
            </c:numRef>
          </c:cat>
          <c:val>
            <c:numRef>
              <c:f>GRAFICAS!$B$156:$M$156</c:f>
              <c:numCache>
                <c:formatCode>#,##0.00%;\(#,##0.00%\)</c:formatCode>
                <c:ptCount val="12"/>
                <c:pt idx="0">
                  <c:v>7.5465348136034338E-2</c:v>
                </c:pt>
                <c:pt idx="1">
                  <c:v>4.443119457683764E-2</c:v>
                </c:pt>
                <c:pt idx="2">
                  <c:v>3.4161847525075117E-2</c:v>
                </c:pt>
                <c:pt idx="3">
                  <c:v>-2.3627911032486626E-4</c:v>
                </c:pt>
                <c:pt idx="4">
                  <c:v>3.7913471865941961E-2</c:v>
                </c:pt>
                <c:pt idx="5">
                  <c:v>6.3197464375821966E-2</c:v>
                </c:pt>
                <c:pt idx="6">
                  <c:v>-4.7220671210069898E-2</c:v>
                </c:pt>
                <c:pt idx="7">
                  <c:v>-1.9300434510648667E-2</c:v>
                </c:pt>
                <c:pt idx="8">
                  <c:v>-2.8607680422392479E-2</c:v>
                </c:pt>
                <c:pt idx="9">
                  <c:v>-3.6708618972779439E-2</c:v>
                </c:pt>
                <c:pt idx="10">
                  <c:v>-4.8100020047751046E-3</c:v>
                </c:pt>
                <c:pt idx="11">
                  <c:v>0.12650398094829285</c:v>
                </c:pt>
              </c:numCache>
            </c:numRef>
          </c:val>
          <c:extLst>
            <c:ext xmlns:c16="http://schemas.microsoft.com/office/drawing/2014/chart" uri="{C3380CC4-5D6E-409C-BE32-E72D297353CC}">
              <c16:uniqueId val="{00000001-9EDC-4F61-8308-73615DFF2DB0}"/>
            </c:ext>
          </c:extLst>
        </c:ser>
        <c:dLbls>
          <c:showLegendKey val="0"/>
          <c:showVal val="1"/>
          <c:showCatName val="0"/>
          <c:showSerName val="0"/>
          <c:showPercent val="0"/>
          <c:showBubbleSize val="0"/>
        </c:dLbls>
        <c:gapWidth val="150"/>
        <c:overlap val="-25"/>
        <c:axId val="274567168"/>
        <c:axId val="274933248"/>
      </c:barChart>
      <c:catAx>
        <c:axId val="274567168"/>
        <c:scaling>
          <c:orientation val="minMax"/>
        </c:scaling>
        <c:delete val="0"/>
        <c:axPos val="b"/>
        <c:majorGridlines/>
        <c:numFmt formatCode="[$-C0A]mmm\-yy;@" sourceLinked="1"/>
        <c:majorTickMark val="none"/>
        <c:minorTickMark val="none"/>
        <c:tickLblPos val="none"/>
        <c:crossAx val="274933248"/>
        <c:crosses val="autoZero"/>
        <c:auto val="0"/>
        <c:lblAlgn val="ctr"/>
        <c:lblOffset val="100"/>
        <c:noMultiLvlLbl val="0"/>
      </c:catAx>
      <c:valAx>
        <c:axId val="274933248"/>
        <c:scaling>
          <c:orientation val="minMax"/>
        </c:scaling>
        <c:delete val="0"/>
        <c:axPos val="l"/>
        <c:majorGridlines/>
        <c:numFmt formatCode="#,##0.00%;[Red]\(#,##0.00%\)" sourceLinked="0"/>
        <c:majorTickMark val="out"/>
        <c:minorTickMark val="none"/>
        <c:tickLblPos val="nextTo"/>
        <c:crossAx val="274567168"/>
        <c:crosses val="autoZero"/>
        <c:crossBetween val="between"/>
      </c:valAx>
      <c:dTable>
        <c:showHorzBorder val="1"/>
        <c:showVertBorder val="1"/>
        <c:showOutline val="1"/>
        <c:showKeys val="1"/>
      </c:dTable>
      <c:spPr>
        <a:blipFill dpi="0" rotWithShape="1">
          <a:blip xmlns:r="http://schemas.openxmlformats.org/officeDocument/2006/relationships" r:embed="rId1">
            <a:alphaModFix amt="21000"/>
          </a:blip>
          <a:srcRect/>
          <a:stretch>
            <a:fillRect l="35000" t="7000" r="28000" b="70000"/>
          </a:stretch>
        </a:blipFill>
      </c:spPr>
    </c:plotArea>
    <c:plotVisOnly val="1"/>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GRAFICAS!$A$281</c:f>
          <c:strCache>
            <c:ptCount val="1"/>
            <c:pt idx="0">
              <c:v>MVFANG+ BF-1 Rendimiento Efectivo de los años más recientes</c:v>
            </c:pt>
          </c:strCache>
        </c:strRef>
      </c:tx>
      <c:layout>
        <c:manualLayout>
          <c:xMode val="edge"/>
          <c:yMode val="edge"/>
          <c:x val="8.6544664675536245E-2"/>
          <c:y val="3.7037068227435029E-2"/>
        </c:manualLayout>
      </c:layout>
      <c:overlay val="0"/>
      <c:txPr>
        <a:bodyPr/>
        <a:lstStyle/>
        <a:p>
          <a:pPr>
            <a:defRPr sz="1800"/>
          </a:pPr>
          <a:endParaRPr lang="es-MX"/>
        </a:p>
      </c:txPr>
    </c:title>
    <c:autoTitleDeleted val="0"/>
    <c:plotArea>
      <c:layout>
        <c:manualLayout>
          <c:layoutTarget val="inner"/>
          <c:xMode val="edge"/>
          <c:yMode val="edge"/>
          <c:x val="3.1406145532976E-2"/>
          <c:y val="0.27789661319073083"/>
          <c:w val="0.93718770893404801"/>
          <c:h val="0.62615548724858594"/>
        </c:manualLayout>
      </c:layout>
      <c:barChart>
        <c:barDir val="col"/>
        <c:grouping val="clustered"/>
        <c:varyColors val="0"/>
        <c:ser>
          <c:idx val="1"/>
          <c:order val="0"/>
          <c:tx>
            <c:strRef>
              <c:f>GRAFICAS!$A$159</c:f>
              <c:strCache>
                <c:ptCount val="1"/>
                <c:pt idx="0">
                  <c:v>MVFANG+ BF-1 Efectivo</c:v>
                </c:pt>
              </c:strCache>
            </c:strRef>
          </c:tx>
          <c:spPr>
            <a:solidFill>
              <a:srgbClr val="FF6600">
                <a:alpha val="69804"/>
              </a:srgbClr>
            </a:solidFill>
            <a:scene3d>
              <a:camera prst="orthographicFront"/>
              <a:lightRig rig="threePt" dir="t"/>
            </a:scene3d>
            <a:sp3d>
              <a:bevelT/>
            </a:sp3d>
          </c:spPr>
          <c:invertIfNegative val="0"/>
          <c:dLbls>
            <c:spPr>
              <a:noFill/>
              <a:ln>
                <a:noFill/>
              </a:ln>
              <a:effectLst/>
            </c:spPr>
            <c:txPr>
              <a:bodyPr/>
              <a:lstStyle/>
              <a:p>
                <a:pPr>
                  <a:defRPr sz="1200" b="1"/>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GRAFICAS!$B$158:$E$158</c:f>
              <c:numCache>
                <c:formatCode>General</c:formatCode>
                <c:ptCount val="4"/>
                <c:pt idx="0">
                  <c:v>2023</c:v>
                </c:pt>
                <c:pt idx="1">
                  <c:v>2024</c:v>
                </c:pt>
                <c:pt idx="2">
                  <c:v>2025</c:v>
                </c:pt>
                <c:pt idx="3">
                  <c:v>2026</c:v>
                </c:pt>
              </c:numCache>
            </c:numRef>
          </c:cat>
          <c:val>
            <c:numRef>
              <c:f>GRAFICAS!$B$159:$E$159</c:f>
              <c:numCache>
                <c:formatCode>#,##0.00%;\(#,##0.00%\)</c:formatCode>
                <c:ptCount val="4"/>
                <c:pt idx="0">
                  <c:v>0.32867227325875081</c:v>
                </c:pt>
                <c:pt idx="1">
                  <c:v>0.51421579113461591</c:v>
                </c:pt>
                <c:pt idx="2">
                  <c:v>2.521755367769396E-2</c:v>
                </c:pt>
                <c:pt idx="3">
                  <c:v>4.9037644916043455E-2</c:v>
                </c:pt>
              </c:numCache>
            </c:numRef>
          </c:val>
          <c:extLst>
            <c:ext xmlns:c16="http://schemas.microsoft.com/office/drawing/2014/chart" uri="{C3380CC4-5D6E-409C-BE32-E72D297353CC}">
              <c16:uniqueId val="{00000000-5283-43BF-AA71-98D88E90BFC1}"/>
            </c:ext>
          </c:extLst>
        </c:ser>
        <c:dLbls>
          <c:showLegendKey val="0"/>
          <c:showVal val="1"/>
          <c:showCatName val="0"/>
          <c:showSerName val="0"/>
          <c:showPercent val="0"/>
          <c:showBubbleSize val="0"/>
        </c:dLbls>
        <c:gapWidth val="150"/>
        <c:overlap val="-25"/>
        <c:axId val="275696640"/>
        <c:axId val="275840000"/>
      </c:barChart>
      <c:catAx>
        <c:axId val="275696640"/>
        <c:scaling>
          <c:orientation val="minMax"/>
        </c:scaling>
        <c:delete val="0"/>
        <c:axPos val="b"/>
        <c:numFmt formatCode="General" sourceLinked="1"/>
        <c:majorTickMark val="none"/>
        <c:minorTickMark val="none"/>
        <c:tickLblPos val="low"/>
        <c:txPr>
          <a:bodyPr/>
          <a:lstStyle/>
          <a:p>
            <a:pPr>
              <a:defRPr sz="1100" b="1"/>
            </a:pPr>
            <a:endParaRPr lang="es-MX"/>
          </a:p>
        </c:txPr>
        <c:crossAx val="275840000"/>
        <c:crosses val="autoZero"/>
        <c:auto val="1"/>
        <c:lblAlgn val="ctr"/>
        <c:lblOffset val="100"/>
        <c:noMultiLvlLbl val="0"/>
      </c:catAx>
      <c:valAx>
        <c:axId val="275840000"/>
        <c:scaling>
          <c:orientation val="minMax"/>
        </c:scaling>
        <c:delete val="1"/>
        <c:axPos val="l"/>
        <c:numFmt formatCode="#,##0.00%;\(#,##0.00%\)" sourceLinked="1"/>
        <c:majorTickMark val="out"/>
        <c:minorTickMark val="none"/>
        <c:tickLblPos val="none"/>
        <c:crossAx val="275696640"/>
        <c:crosses val="autoZero"/>
        <c:crossBetween val="between"/>
      </c:valAx>
      <c:spPr>
        <a:blipFill dpi="0" rotWithShape="1">
          <a:blip xmlns:r="http://schemas.openxmlformats.org/officeDocument/2006/relationships" r:embed="rId1">
            <a:alphaModFix amt="13000"/>
          </a:blip>
          <a:srcRect/>
          <a:stretch>
            <a:fillRect l="26000" t="7000" r="26000" b="76000"/>
          </a:stretch>
        </a:blipFill>
      </c:spPr>
    </c:plotArea>
    <c:plotVisOnly val="1"/>
    <c:dispBlanksAs val="gap"/>
    <c:showDLblsOverMax val="0"/>
  </c:chart>
  <c:spPr>
    <a:noFill/>
    <a:ln>
      <a:solidFill>
        <a:schemeClr val="bg1">
          <a:lumMod val="65000"/>
        </a:scheme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'36 MESES'!$B$393</c:f>
          <c:strCache>
            <c:ptCount val="1"/>
            <c:pt idx="0">
              <c:v>Valor de $100 del 28-abr-23 al 30-abr-26</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6.8864131345283963E-2"/>
          <c:y val="9.3839360882798359E-2"/>
          <c:w val="0.80342778366646472"/>
          <c:h val="0.67620997375328085"/>
        </c:manualLayout>
      </c:layout>
      <c:lineChart>
        <c:grouping val="standard"/>
        <c:varyColors val="0"/>
        <c:ser>
          <c:idx val="0"/>
          <c:order val="0"/>
          <c:tx>
            <c:strRef>
              <c:f>'36 MESES'!$E$70</c:f>
              <c:strCache>
                <c:ptCount val="1"/>
                <c:pt idx="0">
                  <c:v>MULTIFA BF-1</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36"/>
              <c:layout>
                <c:manualLayout>
                  <c:x val="1.3078643951127072E-2"/>
                  <c:y val="5.163511187607510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0A-45F0-8CBA-1F087C2AECE7}"/>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 MESES'!$B$71:$B$107</c:f>
              <c:numCache>
                <c:formatCode>d\-mmm\-yy</c:formatCode>
                <c:ptCount val="37"/>
                <c:pt idx="0">
                  <c:v>45044</c:v>
                </c:pt>
                <c:pt idx="1">
                  <c:v>45077</c:v>
                </c:pt>
                <c:pt idx="2">
                  <c:v>45107</c:v>
                </c:pt>
                <c:pt idx="3">
                  <c:v>45138</c:v>
                </c:pt>
                <c:pt idx="4">
                  <c:v>45169</c:v>
                </c:pt>
                <c:pt idx="5">
                  <c:v>45198</c:v>
                </c:pt>
                <c:pt idx="6">
                  <c:v>45230</c:v>
                </c:pt>
                <c:pt idx="7">
                  <c:v>45260</c:v>
                </c:pt>
                <c:pt idx="8">
                  <c:v>45289</c:v>
                </c:pt>
                <c:pt idx="9">
                  <c:v>45322</c:v>
                </c:pt>
                <c:pt idx="10">
                  <c:v>45351</c:v>
                </c:pt>
                <c:pt idx="11">
                  <c:v>45378</c:v>
                </c:pt>
                <c:pt idx="12">
                  <c:v>45412</c:v>
                </c:pt>
                <c:pt idx="13">
                  <c:v>45443</c:v>
                </c:pt>
                <c:pt idx="14">
                  <c:v>45471</c:v>
                </c:pt>
                <c:pt idx="15">
                  <c:v>45504</c:v>
                </c:pt>
                <c:pt idx="16">
                  <c:v>45534</c:v>
                </c:pt>
                <c:pt idx="17">
                  <c:v>45565</c:v>
                </c:pt>
                <c:pt idx="18">
                  <c:v>45596</c:v>
                </c:pt>
                <c:pt idx="19">
                  <c:v>45625</c:v>
                </c:pt>
                <c:pt idx="20">
                  <c:v>45657</c:v>
                </c:pt>
                <c:pt idx="21">
                  <c:v>45688</c:v>
                </c:pt>
                <c:pt idx="22">
                  <c:v>45716</c:v>
                </c:pt>
                <c:pt idx="23">
                  <c:v>45747</c:v>
                </c:pt>
                <c:pt idx="24">
                  <c:v>45777</c:v>
                </c:pt>
                <c:pt idx="25">
                  <c:v>45807</c:v>
                </c:pt>
                <c:pt idx="26">
                  <c:v>45838</c:v>
                </c:pt>
                <c:pt idx="27">
                  <c:v>45869</c:v>
                </c:pt>
                <c:pt idx="28">
                  <c:v>45898</c:v>
                </c:pt>
                <c:pt idx="29">
                  <c:v>45930</c:v>
                </c:pt>
                <c:pt idx="30">
                  <c:v>45961</c:v>
                </c:pt>
                <c:pt idx="31">
                  <c:v>45989</c:v>
                </c:pt>
                <c:pt idx="32">
                  <c:v>46022</c:v>
                </c:pt>
                <c:pt idx="33">
                  <c:v>46052</c:v>
                </c:pt>
                <c:pt idx="34">
                  <c:v>46080</c:v>
                </c:pt>
                <c:pt idx="35">
                  <c:v>46112</c:v>
                </c:pt>
                <c:pt idx="36">
                  <c:v>46142</c:v>
                </c:pt>
              </c:numCache>
            </c:numRef>
          </c:cat>
          <c:val>
            <c:numRef>
              <c:f>'36 MESES'!$E$71:$E$107</c:f>
              <c:numCache>
                <c:formatCode>_("$"* #,##0.00_);_("$"* \(#,##0.00\);_("$"* "-"??_);_(@_)</c:formatCode>
                <c:ptCount val="37"/>
                <c:pt idx="0">
                  <c:v>100</c:v>
                </c:pt>
                <c:pt idx="1">
                  <c:v>99.129648050997872</c:v>
                </c:pt>
                <c:pt idx="2">
                  <c:v>101.02883555325779</c:v>
                </c:pt>
                <c:pt idx="3">
                  <c:v>102.34555734298389</c:v>
                </c:pt>
                <c:pt idx="4">
                  <c:v>101.50974866500643</c:v>
                </c:pt>
                <c:pt idx="5">
                  <c:v>99.391222931808201</c:v>
                </c:pt>
                <c:pt idx="6">
                  <c:v>99.891292556886754</c:v>
                </c:pt>
                <c:pt idx="7">
                  <c:v>104.47854662841516</c:v>
                </c:pt>
                <c:pt idx="8">
                  <c:v>106.78671415020089</c:v>
                </c:pt>
                <c:pt idx="9">
                  <c:v>108.26322741858674</c:v>
                </c:pt>
                <c:pt idx="10">
                  <c:v>110.92882932162092</c:v>
                </c:pt>
                <c:pt idx="11">
                  <c:v>110.90882653661777</c:v>
                </c:pt>
                <c:pt idx="12">
                  <c:v>109.79759489590472</c:v>
                </c:pt>
                <c:pt idx="13">
                  <c:v>112.89133333179464</c:v>
                </c:pt>
                <c:pt idx="14">
                  <c:v>120.83190044152299</c:v>
                </c:pt>
                <c:pt idx="15">
                  <c:v>122.37165328403415</c:v>
                </c:pt>
                <c:pt idx="16">
                  <c:v>127.56183745583037</c:v>
                </c:pt>
                <c:pt idx="17">
                  <c:v>129.60281393024721</c:v>
                </c:pt>
                <c:pt idx="18">
                  <c:v>129.4406375041448</c:v>
                </c:pt>
                <c:pt idx="19">
                  <c:v>134.62258976057436</c:v>
                </c:pt>
                <c:pt idx="20">
                  <c:v>135.64465514044647</c:v>
                </c:pt>
                <c:pt idx="21">
                  <c:v>136.77865918254773</c:v>
                </c:pt>
                <c:pt idx="22">
                  <c:v>135.34753684936135</c:v>
                </c:pt>
                <c:pt idx="23">
                  <c:v>130.06803254914723</c:v>
                </c:pt>
                <c:pt idx="24">
                  <c:v>128.63029391015212</c:v>
                </c:pt>
                <c:pt idx="25">
                  <c:v>133.5919077963932</c:v>
                </c:pt>
                <c:pt idx="26">
                  <c:v>136.11664393273219</c:v>
                </c:pt>
                <c:pt idx="27">
                  <c:v>138.58921896048608</c:v>
                </c:pt>
                <c:pt idx="28">
                  <c:v>139.78307749001979</c:v>
                </c:pt>
                <c:pt idx="29">
                  <c:v>143.39711913735687</c:v>
                </c:pt>
                <c:pt idx="30">
                  <c:v>147.61924544878946</c:v>
                </c:pt>
                <c:pt idx="31">
                  <c:v>145.38162621103407</c:v>
                </c:pt>
                <c:pt idx="32">
                  <c:v>144.18107444190315</c:v>
                </c:pt>
                <c:pt idx="33">
                  <c:v>143.51205821733649</c:v>
                </c:pt>
                <c:pt idx="34">
                  <c:v>142.96228936490397</c:v>
                </c:pt>
                <c:pt idx="35">
                  <c:v>141.26766880619539</c:v>
                </c:pt>
                <c:pt idx="36">
                  <c:v>148.70547360824858</c:v>
                </c:pt>
              </c:numCache>
            </c:numRef>
          </c:val>
          <c:smooth val="0"/>
          <c:extLst>
            <c:ext xmlns:c16="http://schemas.microsoft.com/office/drawing/2014/chart" uri="{C3380CC4-5D6E-409C-BE32-E72D297353CC}">
              <c16:uniqueId val="{00000001-9E0A-45F0-8CBA-1F087C2AECE7}"/>
            </c:ext>
          </c:extLst>
        </c:ser>
        <c:ser>
          <c:idx val="1"/>
          <c:order val="1"/>
          <c:tx>
            <c:strRef>
              <c:f>'36 MESES'!$F$70</c:f>
              <c:strCache>
                <c:ptCount val="1"/>
                <c:pt idx="0">
                  <c:v>MULTIRE BF-1</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65000"/>
                  </a:schemeClr>
                </a:solidFill>
              </a:ln>
              <a:effectLst/>
            </c:spPr>
          </c:marker>
          <c:dLbls>
            <c:dLbl>
              <c:idx val="36"/>
              <c:layout>
                <c:manualLayout>
                  <c:x val="1.1701944587850427E-2"/>
                  <c:y val="-3.44234079173838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E0A-45F0-8CBA-1F087C2AECE7}"/>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'36 MESES'!$B$71:$B$107</c:f>
              <c:numCache>
                <c:formatCode>d\-mmm\-yy</c:formatCode>
                <c:ptCount val="37"/>
                <c:pt idx="0">
                  <c:v>45044</c:v>
                </c:pt>
                <c:pt idx="1">
                  <c:v>45077</c:v>
                </c:pt>
                <c:pt idx="2">
                  <c:v>45107</c:v>
                </c:pt>
                <c:pt idx="3">
                  <c:v>45138</c:v>
                </c:pt>
                <c:pt idx="4">
                  <c:v>45169</c:v>
                </c:pt>
                <c:pt idx="5">
                  <c:v>45198</c:v>
                </c:pt>
                <c:pt idx="6">
                  <c:v>45230</c:v>
                </c:pt>
                <c:pt idx="7">
                  <c:v>45260</c:v>
                </c:pt>
                <c:pt idx="8">
                  <c:v>45289</c:v>
                </c:pt>
                <c:pt idx="9">
                  <c:v>45322</c:v>
                </c:pt>
                <c:pt idx="10">
                  <c:v>45351</c:v>
                </c:pt>
                <c:pt idx="11">
                  <c:v>45378</c:v>
                </c:pt>
                <c:pt idx="12">
                  <c:v>45412</c:v>
                </c:pt>
                <c:pt idx="13">
                  <c:v>45443</c:v>
                </c:pt>
                <c:pt idx="14">
                  <c:v>45471</c:v>
                </c:pt>
                <c:pt idx="15">
                  <c:v>45504</c:v>
                </c:pt>
                <c:pt idx="16">
                  <c:v>45534</c:v>
                </c:pt>
                <c:pt idx="17">
                  <c:v>45565</c:v>
                </c:pt>
                <c:pt idx="18">
                  <c:v>45596</c:v>
                </c:pt>
                <c:pt idx="19">
                  <c:v>45625</c:v>
                </c:pt>
                <c:pt idx="20">
                  <c:v>45657</c:v>
                </c:pt>
                <c:pt idx="21">
                  <c:v>45688</c:v>
                </c:pt>
                <c:pt idx="22">
                  <c:v>45716</c:v>
                </c:pt>
                <c:pt idx="23">
                  <c:v>45747</c:v>
                </c:pt>
                <c:pt idx="24">
                  <c:v>45777</c:v>
                </c:pt>
                <c:pt idx="25">
                  <c:v>45807</c:v>
                </c:pt>
                <c:pt idx="26">
                  <c:v>45838</c:v>
                </c:pt>
                <c:pt idx="27">
                  <c:v>45869</c:v>
                </c:pt>
                <c:pt idx="28">
                  <c:v>45898</c:v>
                </c:pt>
                <c:pt idx="29">
                  <c:v>45930</c:v>
                </c:pt>
                <c:pt idx="30">
                  <c:v>45961</c:v>
                </c:pt>
                <c:pt idx="31">
                  <c:v>45989</c:v>
                </c:pt>
                <c:pt idx="32">
                  <c:v>46022</c:v>
                </c:pt>
                <c:pt idx="33">
                  <c:v>46052</c:v>
                </c:pt>
                <c:pt idx="34">
                  <c:v>46080</c:v>
                </c:pt>
                <c:pt idx="35">
                  <c:v>46112</c:v>
                </c:pt>
                <c:pt idx="36">
                  <c:v>46142</c:v>
                </c:pt>
              </c:numCache>
            </c:numRef>
          </c:cat>
          <c:val>
            <c:numRef>
              <c:f>'36 MESES'!$F$71:$F$107</c:f>
              <c:numCache>
                <c:formatCode>_("$"* #,##0.00_);_("$"* \(#,##0.00\);_("$"* "-"??_);_(@_)</c:formatCode>
                <c:ptCount val="37"/>
                <c:pt idx="0">
                  <c:v>100</c:v>
                </c:pt>
                <c:pt idx="1">
                  <c:v>100.79871844872706</c:v>
                </c:pt>
                <c:pt idx="2">
                  <c:v>101.64864477563428</c:v>
                </c:pt>
                <c:pt idx="3">
                  <c:v>102.4232783181122</c:v>
                </c:pt>
                <c:pt idx="4">
                  <c:v>103.24778372193427</c:v>
                </c:pt>
                <c:pt idx="5">
                  <c:v>104.08702191415342</c:v>
                </c:pt>
                <c:pt idx="6">
                  <c:v>104.91013639633802</c:v>
                </c:pt>
                <c:pt idx="7">
                  <c:v>105.76300928092466</c:v>
                </c:pt>
                <c:pt idx="8">
                  <c:v>106.65341874812296</c:v>
                </c:pt>
                <c:pt idx="9">
                  <c:v>107.46244099792771</c:v>
                </c:pt>
                <c:pt idx="10">
                  <c:v>108.24845813591246</c:v>
                </c:pt>
                <c:pt idx="11">
                  <c:v>109.09194229944605</c:v>
                </c:pt>
                <c:pt idx="12">
                  <c:v>109.88837304811145</c:v>
                </c:pt>
                <c:pt idx="13">
                  <c:v>110.76055412121846</c:v>
                </c:pt>
                <c:pt idx="14">
                  <c:v>111.51895414405884</c:v>
                </c:pt>
                <c:pt idx="15">
                  <c:v>112.36791048613992</c:v>
                </c:pt>
                <c:pt idx="16">
                  <c:v>113.26908129442829</c:v>
                </c:pt>
                <c:pt idx="17">
                  <c:v>114.10508010336014</c:v>
                </c:pt>
                <c:pt idx="18">
                  <c:v>114.85281029311297</c:v>
                </c:pt>
                <c:pt idx="19">
                  <c:v>115.69964364953681</c:v>
                </c:pt>
                <c:pt idx="20">
                  <c:v>116.49878303507522</c:v>
                </c:pt>
                <c:pt idx="21">
                  <c:v>117.35010028361992</c:v>
                </c:pt>
                <c:pt idx="22">
                  <c:v>118.02233637133801</c:v>
                </c:pt>
                <c:pt idx="23">
                  <c:v>118.73703217220051</c:v>
                </c:pt>
                <c:pt idx="24">
                  <c:v>119.44925725699639</c:v>
                </c:pt>
                <c:pt idx="25">
                  <c:v>120.13640914911652</c:v>
                </c:pt>
                <c:pt idx="26">
                  <c:v>120.73992272698243</c:v>
                </c:pt>
                <c:pt idx="27">
                  <c:v>121.34951243621208</c:v>
                </c:pt>
                <c:pt idx="28">
                  <c:v>121.96645938884002</c:v>
                </c:pt>
                <c:pt idx="29">
                  <c:v>122.55628336953694</c:v>
                </c:pt>
                <c:pt idx="30">
                  <c:v>123.17204071813283</c:v>
                </c:pt>
                <c:pt idx="31">
                  <c:v>123.6576736872216</c:v>
                </c:pt>
                <c:pt idx="32">
                  <c:v>124.20117631707008</c:v>
                </c:pt>
                <c:pt idx="33">
                  <c:v>124.71642127575696</c:v>
                </c:pt>
                <c:pt idx="34">
                  <c:v>125.15009600104536</c:v>
                </c:pt>
                <c:pt idx="35">
                  <c:v>125.56298010817341</c:v>
                </c:pt>
                <c:pt idx="36">
                  <c:v>126.08569211986152</c:v>
                </c:pt>
              </c:numCache>
            </c:numRef>
          </c:val>
          <c:smooth val="0"/>
          <c:extLst>
            <c:ext xmlns:c16="http://schemas.microsoft.com/office/drawing/2014/chart" uri="{C3380CC4-5D6E-409C-BE32-E72D297353CC}">
              <c16:uniqueId val="{00000003-9E0A-45F0-8CBA-1F087C2AECE7}"/>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0649241564718063"/>
          <c:y val="0.87874133858267733"/>
          <c:w val="0.56326989077795386"/>
          <c:h val="4.6258661417322836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'24 MESES'!$B$346</c:f>
          <c:strCache>
            <c:ptCount val="1"/>
            <c:pt idx="0">
              <c:v>Valor de $100  del 30-abr-24 al 30-abr-26</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8.0020764323737684E-2"/>
          <c:y val="9.3839315216239297E-2"/>
          <c:w val="0.81558460574539582"/>
          <c:h val="0.66563475290054297"/>
        </c:manualLayout>
      </c:layout>
      <c:lineChart>
        <c:grouping val="standard"/>
        <c:varyColors val="0"/>
        <c:ser>
          <c:idx val="0"/>
          <c:order val="0"/>
          <c:tx>
            <c:strRef>
              <c:f>'24 MESES'!$E$68</c:f>
              <c:strCache>
                <c:ptCount val="1"/>
                <c:pt idx="0">
                  <c:v>MVFANG+ BF-H</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C8-4F33-AF5D-FFB787DAE3E8}"/>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'24 MESES'!$B$69:$B$93</c:f>
              <c:numCache>
                <c:formatCode>d\-mmm\-yy</c:formatCode>
                <c:ptCount val="25"/>
                <c:pt idx="0">
                  <c:v>45412</c:v>
                </c:pt>
                <c:pt idx="1">
                  <c:v>45443</c:v>
                </c:pt>
                <c:pt idx="2">
                  <c:v>45471</c:v>
                </c:pt>
                <c:pt idx="3">
                  <c:v>45504</c:v>
                </c:pt>
                <c:pt idx="4">
                  <c:v>45534</c:v>
                </c:pt>
                <c:pt idx="5">
                  <c:v>45565</c:v>
                </c:pt>
                <c:pt idx="6">
                  <c:v>45596</c:v>
                </c:pt>
                <c:pt idx="7">
                  <c:v>45625</c:v>
                </c:pt>
                <c:pt idx="8">
                  <c:v>45657</c:v>
                </c:pt>
                <c:pt idx="9">
                  <c:v>45688</c:v>
                </c:pt>
                <c:pt idx="10">
                  <c:v>45716</c:v>
                </c:pt>
                <c:pt idx="11">
                  <c:v>45747</c:v>
                </c:pt>
                <c:pt idx="12">
                  <c:v>45777</c:v>
                </c:pt>
                <c:pt idx="13">
                  <c:v>45807</c:v>
                </c:pt>
                <c:pt idx="14">
                  <c:v>45838</c:v>
                </c:pt>
                <c:pt idx="15">
                  <c:v>45869</c:v>
                </c:pt>
                <c:pt idx="16">
                  <c:v>45898</c:v>
                </c:pt>
                <c:pt idx="17">
                  <c:v>45930</c:v>
                </c:pt>
                <c:pt idx="18">
                  <c:v>45961</c:v>
                </c:pt>
                <c:pt idx="19">
                  <c:v>45989</c:v>
                </c:pt>
                <c:pt idx="20">
                  <c:v>46022</c:v>
                </c:pt>
                <c:pt idx="21">
                  <c:v>46052</c:v>
                </c:pt>
                <c:pt idx="22">
                  <c:v>46080</c:v>
                </c:pt>
                <c:pt idx="23">
                  <c:v>46112</c:v>
                </c:pt>
                <c:pt idx="24">
                  <c:v>46142</c:v>
                </c:pt>
              </c:numCache>
            </c:numRef>
          </c:cat>
          <c:val>
            <c:numRef>
              <c:f>'24 MESES'!$E$69:$E$93</c:f>
              <c:numCache>
                <c:formatCode>_("$"* #,##0.00_);_("$"* \(#,##0.00\);_("$"* "-"??_);_(@_)</c:formatCode>
                <c:ptCount val="25"/>
                <c:pt idx="0">
                  <c:v>100</c:v>
                </c:pt>
                <c:pt idx="1">
                  <c:v>105.92026638956746</c:v>
                </c:pt>
                <c:pt idx="2">
                  <c:v>120.34661447011601</c:v>
                </c:pt>
                <c:pt idx="3">
                  <c:v>121.46391439037848</c:v>
                </c:pt>
                <c:pt idx="4">
                  <c:v>129.07114574418102</c:v>
                </c:pt>
                <c:pt idx="5">
                  <c:v>131.77539756654377</c:v>
                </c:pt>
                <c:pt idx="6">
                  <c:v>133.21223239682374</c:v>
                </c:pt>
                <c:pt idx="7">
                  <c:v>142.84594674158222</c:v>
                </c:pt>
                <c:pt idx="8">
                  <c:v>146.86937670222034</c:v>
                </c:pt>
                <c:pt idx="9">
                  <c:v>146.6193440468833</c:v>
                </c:pt>
                <c:pt idx="10">
                  <c:v>141.8980646595169</c:v>
                </c:pt>
                <c:pt idx="11">
                  <c:v>129.75905235186659</c:v>
                </c:pt>
                <c:pt idx="12">
                  <c:v>126.48913210887189</c:v>
                </c:pt>
                <c:pt idx="13">
                  <c:v>136.2429401110866</c:v>
                </c:pt>
                <c:pt idx="14">
                  <c:v>142.5001900833052</c:v>
                </c:pt>
                <c:pt idx="15">
                  <c:v>147.59383779168036</c:v>
                </c:pt>
                <c:pt idx="16">
                  <c:v>147.78489588308798</c:v>
                </c:pt>
                <c:pt idx="17">
                  <c:v>153.61509202956324</c:v>
                </c:pt>
                <c:pt idx="18">
                  <c:v>163.58929918722319</c:v>
                </c:pt>
                <c:pt idx="19">
                  <c:v>156.08003384457612</c:v>
                </c:pt>
                <c:pt idx="20">
                  <c:v>153.30959404054713</c:v>
                </c:pt>
                <c:pt idx="21">
                  <c:v>149.15983179089659</c:v>
                </c:pt>
                <c:pt idx="22">
                  <c:v>143.87629573453054</c:v>
                </c:pt>
                <c:pt idx="23">
                  <c:v>143.39679841226817</c:v>
                </c:pt>
                <c:pt idx="24">
                  <c:v>161.80095646020038</c:v>
                </c:pt>
              </c:numCache>
            </c:numRef>
          </c:val>
          <c:smooth val="0"/>
          <c:extLst>
            <c:ext xmlns:c16="http://schemas.microsoft.com/office/drawing/2014/chart" uri="{C3380CC4-5D6E-409C-BE32-E72D297353CC}">
              <c16:uniqueId val="{00000001-BE69-42B8-9925-3529CAA8AAB7}"/>
            </c:ext>
          </c:extLst>
        </c:ser>
        <c:ser>
          <c:idx val="1"/>
          <c:order val="1"/>
          <c:tx>
            <c:strRef>
              <c:f>'24 MESES'!$F$68</c:f>
              <c:strCache>
                <c:ptCount val="1"/>
                <c:pt idx="0">
                  <c:v>MULTIRE BF-H</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75000"/>
                  </a:schemeClr>
                </a:solidFill>
              </a:ln>
              <a:effectLst/>
            </c:spPr>
          </c:marker>
          <c:dLbls>
            <c:dLbl>
              <c:idx val="24"/>
              <c:layout>
                <c:manualLayout>
                  <c:x val="-2.4706610620055516E-3"/>
                  <c:y val="4.993758457277251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C8-4F33-AF5D-FFB787DAE3E8}"/>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'24 MESES'!$B$69:$B$93</c:f>
              <c:numCache>
                <c:formatCode>d\-mmm\-yy</c:formatCode>
                <c:ptCount val="25"/>
                <c:pt idx="0">
                  <c:v>45412</c:v>
                </c:pt>
                <c:pt idx="1">
                  <c:v>45443</c:v>
                </c:pt>
                <c:pt idx="2">
                  <c:v>45471</c:v>
                </c:pt>
                <c:pt idx="3">
                  <c:v>45504</c:v>
                </c:pt>
                <c:pt idx="4">
                  <c:v>45534</c:v>
                </c:pt>
                <c:pt idx="5">
                  <c:v>45565</c:v>
                </c:pt>
                <c:pt idx="6">
                  <c:v>45596</c:v>
                </c:pt>
                <c:pt idx="7">
                  <c:v>45625</c:v>
                </c:pt>
                <c:pt idx="8">
                  <c:v>45657</c:v>
                </c:pt>
                <c:pt idx="9">
                  <c:v>45688</c:v>
                </c:pt>
                <c:pt idx="10">
                  <c:v>45716</c:v>
                </c:pt>
                <c:pt idx="11">
                  <c:v>45747</c:v>
                </c:pt>
                <c:pt idx="12">
                  <c:v>45777</c:v>
                </c:pt>
                <c:pt idx="13">
                  <c:v>45807</c:v>
                </c:pt>
                <c:pt idx="14">
                  <c:v>45838</c:v>
                </c:pt>
                <c:pt idx="15">
                  <c:v>45869</c:v>
                </c:pt>
                <c:pt idx="16">
                  <c:v>45898</c:v>
                </c:pt>
                <c:pt idx="17">
                  <c:v>45930</c:v>
                </c:pt>
                <c:pt idx="18">
                  <c:v>45961</c:v>
                </c:pt>
                <c:pt idx="19">
                  <c:v>45989</c:v>
                </c:pt>
                <c:pt idx="20">
                  <c:v>46022</c:v>
                </c:pt>
                <c:pt idx="21">
                  <c:v>46052</c:v>
                </c:pt>
                <c:pt idx="22">
                  <c:v>46080</c:v>
                </c:pt>
                <c:pt idx="23">
                  <c:v>46112</c:v>
                </c:pt>
                <c:pt idx="24">
                  <c:v>46142</c:v>
                </c:pt>
              </c:numCache>
            </c:numRef>
          </c:cat>
          <c:val>
            <c:numRef>
              <c:f>'24 MESES'!$F$69:$F$93</c:f>
              <c:numCache>
                <c:formatCode>_("$"* #,##0.00_);_("$"* \(#,##0.00\);_("$"* "-"??_);_(@_)</c:formatCode>
                <c:ptCount val="25"/>
                <c:pt idx="0">
                  <c:v>100</c:v>
                </c:pt>
                <c:pt idx="1">
                  <c:v>100.9256011142232</c:v>
                </c:pt>
                <c:pt idx="2">
                  <c:v>101.73306089964341</c:v>
                </c:pt>
                <c:pt idx="3">
                  <c:v>102.63760197131795</c:v>
                </c:pt>
                <c:pt idx="4">
                  <c:v>103.59633898097557</c:v>
                </c:pt>
                <c:pt idx="5">
                  <c:v>104.48923274714176</c:v>
                </c:pt>
                <c:pt idx="6">
                  <c:v>105.30331971164884</c:v>
                </c:pt>
                <c:pt idx="7">
                  <c:v>106.2146257097816</c:v>
                </c:pt>
                <c:pt idx="8">
                  <c:v>107.08425547545802</c:v>
                </c:pt>
                <c:pt idx="9">
                  <c:v>108.01331557922771</c:v>
                </c:pt>
                <c:pt idx="10">
                  <c:v>108.75288121585012</c:v>
                </c:pt>
                <c:pt idx="11">
                  <c:v>109.54220426404639</c:v>
                </c:pt>
                <c:pt idx="12">
                  <c:v>110.34009825979153</c:v>
                </c:pt>
                <c:pt idx="13">
                  <c:v>111.11674854982627</c:v>
                </c:pt>
                <c:pt idx="14">
                  <c:v>111.80856176439076</c:v>
                </c:pt>
                <c:pt idx="15">
                  <c:v>112.51682813719637</c:v>
                </c:pt>
                <c:pt idx="16">
                  <c:v>113.23363484702388</c:v>
                </c:pt>
                <c:pt idx="17">
                  <c:v>113.92224926152103</c:v>
                </c:pt>
                <c:pt idx="18">
                  <c:v>114.65082571896477</c:v>
                </c:pt>
                <c:pt idx="19">
                  <c:v>115.23616021549813</c:v>
                </c:pt>
                <c:pt idx="20">
                  <c:v>115.89601603991615</c:v>
                </c:pt>
                <c:pt idx="21">
                  <c:v>116.53586788496567</c:v>
                </c:pt>
                <c:pt idx="22">
                  <c:v>117.07577635949004</c:v>
                </c:pt>
                <c:pt idx="23">
                  <c:v>117.61262378131839</c:v>
                </c:pt>
                <c:pt idx="24">
                  <c:v>118.26909714250729</c:v>
                </c:pt>
              </c:numCache>
            </c:numRef>
          </c:val>
          <c:smooth val="0"/>
          <c:extLst>
            <c:ext xmlns:c16="http://schemas.microsoft.com/office/drawing/2014/chart" uri="{C3380CC4-5D6E-409C-BE32-E72D297353CC}">
              <c16:uniqueId val="{00000003-BE69-42B8-9925-3529CAA8AAB7}"/>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5167137589778349"/>
          <c:y val="0.8847898703873418"/>
          <c:w val="0.50312270924533387"/>
          <c:h val="4.395122224923785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'12 MESES'!$B$253</c:f>
          <c:strCache>
            <c:ptCount val="1"/>
            <c:pt idx="0">
              <c:v>Valor de $100 del 30-abr-25 al 30-abr-26</c:v>
            </c:pt>
          </c:strCache>
        </c:strRef>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mn-lt"/>
              <a:ea typeface="+mn-ea"/>
              <a:cs typeface="+mn-cs"/>
            </a:defRPr>
          </a:pPr>
          <a:endParaRPr lang="es-MX"/>
        </a:p>
      </c:txPr>
    </c:title>
    <c:autoTitleDeleted val="0"/>
    <c:plotArea>
      <c:layout>
        <c:manualLayout>
          <c:layoutTarget val="inner"/>
          <c:xMode val="edge"/>
          <c:yMode val="edge"/>
          <c:x val="0.13812447122335972"/>
          <c:y val="9.7223443516260971E-2"/>
          <c:w val="0.82747587818251622"/>
          <c:h val="0.66293563558362312"/>
        </c:manualLayout>
      </c:layout>
      <c:lineChart>
        <c:grouping val="standard"/>
        <c:varyColors val="0"/>
        <c:ser>
          <c:idx val="0"/>
          <c:order val="0"/>
          <c:tx>
            <c:strRef>
              <c:f>'12 MESES'!$E$68</c:f>
              <c:strCache>
                <c:ptCount val="1"/>
                <c:pt idx="0">
                  <c:v>MULTIRE BF-1</c:v>
                </c:pt>
              </c:strCache>
            </c:strRef>
          </c:tx>
          <c:spPr>
            <a:ln w="50800" cap="rnd">
              <a:solidFill>
                <a:srgbClr val="FF6600"/>
              </a:solidFill>
              <a:round/>
            </a:ln>
            <a:effectLst/>
          </c:spPr>
          <c:marker>
            <c:symbol val="circle"/>
            <c:size val="7"/>
            <c:spPr>
              <a:solidFill>
                <a:schemeClr val="accent3">
                  <a:lumMod val="20000"/>
                  <a:lumOff val="80000"/>
                </a:schemeClr>
              </a:solidFill>
              <a:ln w="9525">
                <a:solidFill>
                  <a:srgbClr val="FF6600"/>
                </a:solidFill>
              </a:ln>
              <a:effectLst/>
            </c:spPr>
          </c:marker>
          <c:dLbls>
            <c:dLbl>
              <c:idx val="12"/>
              <c:layout>
                <c:manualLayout>
                  <c:x val="4.3758046714299004E-2"/>
                  <c:y val="1.69204737732656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5B0-45A4-A937-7C2EA6638324}"/>
                </c:ext>
              </c:extLst>
            </c:dLbl>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 MESES'!$B$69:$B$81</c:f>
              <c:numCache>
                <c:formatCode>d\-mmm\-yy</c:formatCode>
                <c:ptCount val="13"/>
                <c:pt idx="0">
                  <c:v>45777</c:v>
                </c:pt>
                <c:pt idx="1">
                  <c:v>45807</c:v>
                </c:pt>
                <c:pt idx="2">
                  <c:v>45838</c:v>
                </c:pt>
                <c:pt idx="3">
                  <c:v>45869</c:v>
                </c:pt>
                <c:pt idx="4">
                  <c:v>45898</c:v>
                </c:pt>
                <c:pt idx="5">
                  <c:v>45930</c:v>
                </c:pt>
                <c:pt idx="6">
                  <c:v>45961</c:v>
                </c:pt>
                <c:pt idx="7">
                  <c:v>45989</c:v>
                </c:pt>
                <c:pt idx="8">
                  <c:v>46022</c:v>
                </c:pt>
                <c:pt idx="9">
                  <c:v>46052</c:v>
                </c:pt>
                <c:pt idx="10">
                  <c:v>46080</c:v>
                </c:pt>
                <c:pt idx="11">
                  <c:v>46112</c:v>
                </c:pt>
                <c:pt idx="12">
                  <c:v>46142</c:v>
                </c:pt>
              </c:numCache>
            </c:numRef>
          </c:cat>
          <c:val>
            <c:numRef>
              <c:f>'12 MESES'!$E$69:$E$81</c:f>
              <c:numCache>
                <c:formatCode>_("$"* #,##0.00_);_("$"* \(#,##0.00\);_("$"* "-"??_);_(@_)</c:formatCode>
                <c:ptCount val="13"/>
                <c:pt idx="0">
                  <c:v>100</c:v>
                </c:pt>
                <c:pt idx="1">
                  <c:v>100.5752667767885</c:v>
                </c:pt>
                <c:pt idx="2">
                  <c:v>101.08051360018854</c:v>
                </c:pt>
                <c:pt idx="3">
                  <c:v>101.59084721232487</c:v>
                </c:pt>
                <c:pt idx="4">
                  <c:v>102.10734012889495</c:v>
                </c:pt>
                <c:pt idx="5">
                  <c:v>102.60112635598543</c:v>
                </c:pt>
                <c:pt idx="6">
                  <c:v>103.11662336512219</c:v>
                </c:pt>
                <c:pt idx="7">
                  <c:v>103.52318342270708</c:v>
                </c:pt>
                <c:pt idx="8">
                  <c:v>103.97819054650955</c:v>
                </c:pt>
                <c:pt idx="9">
                  <c:v>104.40954103835759</c:v>
                </c:pt>
                <c:pt idx="10">
                  <c:v>104.77260292358584</c:v>
                </c:pt>
                <c:pt idx="11">
                  <c:v>105.1182594112103</c:v>
                </c:pt>
                <c:pt idx="12">
                  <c:v>105.55586113740898</c:v>
                </c:pt>
              </c:numCache>
            </c:numRef>
          </c:val>
          <c:smooth val="0"/>
          <c:extLst>
            <c:ext xmlns:c16="http://schemas.microsoft.com/office/drawing/2014/chart" uri="{C3380CC4-5D6E-409C-BE32-E72D297353CC}">
              <c16:uniqueId val="{00000001-64DB-49D9-BAE8-05B9F02598B6}"/>
            </c:ext>
          </c:extLst>
        </c:ser>
        <c:ser>
          <c:idx val="1"/>
          <c:order val="1"/>
          <c:tx>
            <c:strRef>
              <c:f>'12 MESES'!$F$68</c:f>
              <c:strCache>
                <c:ptCount val="1"/>
                <c:pt idx="0">
                  <c:v>PRLV de Ventanilla a 28 días. Tasa Neta</c:v>
                </c:pt>
              </c:strCache>
            </c:strRef>
          </c:tx>
          <c:spPr>
            <a:ln w="50800" cap="rnd">
              <a:solidFill>
                <a:schemeClr val="bg1">
                  <a:lumMod val="75000"/>
                </a:schemeClr>
              </a:solidFill>
              <a:round/>
            </a:ln>
            <a:effectLst/>
          </c:spPr>
          <c:marker>
            <c:symbol val="triangle"/>
            <c:size val="7"/>
            <c:spPr>
              <a:solidFill>
                <a:schemeClr val="bg1"/>
              </a:solidFill>
              <a:ln w="9525">
                <a:solidFill>
                  <a:schemeClr val="bg1">
                    <a:lumMod val="75000"/>
                  </a:schemeClr>
                </a:solidFill>
              </a:ln>
              <a:effectLst/>
            </c:spPr>
          </c:marker>
          <c:dLbls>
            <c:dLbl>
              <c:idx val="12"/>
              <c:layout>
                <c:manualLayout>
                  <c:x val="1.9403592174627973E-2"/>
                  <c:y val="6.768189509306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B0-45A4-A937-7C2EA6638324}"/>
                </c:ext>
              </c:extLst>
            </c:dLbl>
            <c:spPr>
              <a:solidFill>
                <a:srgbClr val="FFFF00"/>
              </a:solid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MX"/>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'12 MESES'!$B$69:$B$81</c:f>
              <c:numCache>
                <c:formatCode>d\-mmm\-yy</c:formatCode>
                <c:ptCount val="13"/>
                <c:pt idx="0">
                  <c:v>45777</c:v>
                </c:pt>
                <c:pt idx="1">
                  <c:v>45807</c:v>
                </c:pt>
                <c:pt idx="2">
                  <c:v>45838</c:v>
                </c:pt>
                <c:pt idx="3">
                  <c:v>45869</c:v>
                </c:pt>
                <c:pt idx="4">
                  <c:v>45898</c:v>
                </c:pt>
                <c:pt idx="5">
                  <c:v>45930</c:v>
                </c:pt>
                <c:pt idx="6">
                  <c:v>45961</c:v>
                </c:pt>
                <c:pt idx="7">
                  <c:v>45989</c:v>
                </c:pt>
                <c:pt idx="8">
                  <c:v>46022</c:v>
                </c:pt>
                <c:pt idx="9">
                  <c:v>46052</c:v>
                </c:pt>
                <c:pt idx="10">
                  <c:v>46080</c:v>
                </c:pt>
                <c:pt idx="11">
                  <c:v>46112</c:v>
                </c:pt>
                <c:pt idx="12">
                  <c:v>46142</c:v>
                </c:pt>
              </c:numCache>
            </c:numRef>
          </c:cat>
          <c:val>
            <c:numRef>
              <c:f>'12 MESES'!$F$69:$F$81</c:f>
              <c:numCache>
                <c:formatCode>_("$"* #,##0.00_);_("$"* \(#,##0.00\);_("$"* "-"??_);_(@_)</c:formatCode>
                <c:ptCount val="13"/>
                <c:pt idx="0">
                  <c:v>100</c:v>
                </c:pt>
                <c:pt idx="1">
                  <c:v>100.18666666666667</c:v>
                </c:pt>
                <c:pt idx="2">
                  <c:v>100.37128842962964</c:v>
                </c:pt>
                <c:pt idx="3">
                  <c:v>100.54674301798732</c:v>
                </c:pt>
                <c:pt idx="4">
                  <c:v>100.70549515335239</c:v>
                </c:pt>
                <c:pt idx="5">
                  <c:v>100.87826102503769</c:v>
                </c:pt>
                <c:pt idx="6">
                  <c:v>101.04504641659908</c:v>
                </c:pt>
                <c:pt idx="7">
                  <c:v>101.19201082299833</c:v>
                </c:pt>
                <c:pt idx="8">
                  <c:v>101.36454320145154</c:v>
                </c:pt>
                <c:pt idx="9">
                  <c:v>101.51912412983376</c:v>
                </c:pt>
                <c:pt idx="10">
                  <c:v>101.66361968317855</c:v>
                </c:pt>
                <c:pt idx="11">
                  <c:v>101.82176309157461</c:v>
                </c:pt>
                <c:pt idx="12">
                  <c:v>101.97025316274983</c:v>
                </c:pt>
              </c:numCache>
            </c:numRef>
          </c:val>
          <c:smooth val="0"/>
          <c:extLst>
            <c:ext xmlns:c16="http://schemas.microsoft.com/office/drawing/2014/chart" uri="{C3380CC4-5D6E-409C-BE32-E72D297353CC}">
              <c16:uniqueId val="{00000003-64DB-49D9-BAE8-05B9F02598B6}"/>
            </c:ext>
          </c:extLst>
        </c:ser>
        <c:dLbls>
          <c:showLegendKey val="0"/>
          <c:showVal val="0"/>
          <c:showCatName val="0"/>
          <c:showSerName val="0"/>
          <c:showPercent val="0"/>
          <c:showBubbleSize val="0"/>
        </c:dLbls>
        <c:marker val="1"/>
        <c:smooth val="0"/>
        <c:axId val="588386336"/>
        <c:axId val="588384696"/>
      </c:lineChart>
      <c:catAx>
        <c:axId val="588386336"/>
        <c:scaling>
          <c:orientation val="minMax"/>
        </c:scaling>
        <c:delete val="0"/>
        <c:axPos val="b"/>
        <c:majorGridlines>
          <c:spPr>
            <a:ln w="9525" cap="flat" cmpd="sng" algn="ctr">
              <a:solidFill>
                <a:schemeClr val="tx1">
                  <a:lumMod val="15000"/>
                  <a:lumOff val="85000"/>
                </a:schemeClr>
              </a:solidFill>
              <a:round/>
            </a:ln>
            <a:effectLst/>
          </c:spPr>
        </c:majorGridlines>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crossAx val="588384696"/>
        <c:crosses val="autoZero"/>
        <c:auto val="0"/>
        <c:lblAlgn val="ctr"/>
        <c:lblOffset val="100"/>
        <c:noMultiLvlLbl val="0"/>
      </c:catAx>
      <c:valAx>
        <c:axId val="58838469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MX"/>
          </a:p>
        </c:txPr>
        <c:crossAx val="588386336"/>
        <c:crosses val="autoZero"/>
        <c:crossBetween val="between"/>
      </c:valAx>
      <c:spPr>
        <a:blipFill dpi="0" rotWithShape="1">
          <a:blip xmlns:r="http://schemas.openxmlformats.org/officeDocument/2006/relationships" r:embed="rId3">
            <a:alphaModFix amt="45000"/>
          </a:blip>
          <a:srcRect/>
          <a:stretch>
            <a:fillRect r="80000" b="89000"/>
          </a:stretch>
        </a:blipFill>
        <a:ln>
          <a:noFill/>
        </a:ln>
        <a:effectLst/>
      </c:spPr>
    </c:plotArea>
    <c:legend>
      <c:legendPos val="b"/>
      <c:layout>
        <c:manualLayout>
          <c:xMode val="edge"/>
          <c:yMode val="edge"/>
          <c:x val="0.27899591004791258"/>
          <c:y val="0.85997428620914773"/>
          <c:w val="0.54964503513240492"/>
          <c:h val="4.6963108037891201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xdr:col>
      <xdr:colOff>285750</xdr:colOff>
      <xdr:row>39</xdr:row>
      <xdr:rowOff>104775</xdr:rowOff>
    </xdr:from>
    <xdr:to>
      <xdr:col>13</xdr:col>
      <xdr:colOff>352425</xdr:colOff>
      <xdr:row>59</xdr:row>
      <xdr:rowOff>123824</xdr:rowOff>
    </xdr:to>
    <xdr:graphicFrame macro="">
      <xdr:nvGraphicFramePr>
        <xdr:cNvPr id="3" name="2 Gráfico">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57151</xdr:colOff>
      <xdr:row>21</xdr:row>
      <xdr:rowOff>142875</xdr:rowOff>
    </xdr:from>
    <xdr:to>
      <xdr:col>5</xdr:col>
      <xdr:colOff>647700</xdr:colOff>
      <xdr:row>37</xdr:row>
      <xdr:rowOff>142875</xdr:rowOff>
    </xdr:to>
    <xdr:graphicFrame macro="">
      <xdr:nvGraphicFramePr>
        <xdr:cNvPr id="5" name="4 Gráfico">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6</xdr:col>
      <xdr:colOff>276225</xdr:colOff>
      <xdr:row>5</xdr:row>
      <xdr:rowOff>76200</xdr:rowOff>
    </xdr:from>
    <xdr:ext cx="6457950" cy="2543175"/>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5219700" y="1047750"/>
          <a:ext cx="6457950" cy="254317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p>
        <a:p>
          <a:pPr algn="l"/>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4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oneCellAnchor>
    <xdr:from>
      <xdr:col>6</xdr:col>
      <xdr:colOff>314324</xdr:colOff>
      <xdr:row>15</xdr:row>
      <xdr:rowOff>495301</xdr:rowOff>
    </xdr:from>
    <xdr:ext cx="6429375" cy="2914650"/>
    <xdr:sp macro="" textlink="">
      <xdr:nvSpPr>
        <xdr:cNvPr id="9" name="8 CuadroTexto">
          <a:extLst>
            <a:ext uri="{FF2B5EF4-FFF2-40B4-BE49-F238E27FC236}">
              <a16:creationId xmlns:a16="http://schemas.microsoft.com/office/drawing/2014/main" id="{00000000-0008-0000-0000-000009000000}"/>
            </a:ext>
          </a:extLst>
        </xdr:cNvPr>
        <xdr:cNvSpPr txBox="1"/>
      </xdr:nvSpPr>
      <xdr:spPr>
        <a:xfrm>
          <a:off x="5257799" y="4972051"/>
          <a:ext cx="6429375" cy="2914650"/>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MX" sz="1400"/>
            <a:t>Los rendimientos toman como base los precios calculados al cierre de la jornada.</a:t>
          </a:r>
        </a:p>
        <a:p>
          <a:r>
            <a:rPr lang="es-MX" sz="1400"/>
            <a:t>Para los fondos de deuda se aplica la fórmula de Rendimiento </a:t>
          </a:r>
          <a:r>
            <a:rPr lang="es-MX" sz="1400" b="1">
              <a:solidFill>
                <a:srgbClr val="0000FF"/>
              </a:solidFill>
            </a:rPr>
            <a:t>ANUALIZADO COMPUESTO:</a:t>
          </a:r>
          <a:endParaRPr lang="es-MX" sz="1400" b="0" baseline="0">
            <a:solidFill>
              <a:sysClr val="windowText" lastClr="000000"/>
            </a:solidFill>
          </a:endParaRPr>
        </a:p>
        <a:p>
          <a:endParaRPr lang="es-MX" sz="1400" baseline="0"/>
        </a:p>
        <a:p>
          <a:endParaRPr lang="es-MX" sz="1400" baseline="0"/>
        </a:p>
        <a:p>
          <a:endParaRPr lang="es-MX" sz="1400" baseline="0"/>
        </a:p>
        <a:p>
          <a:endParaRPr lang="es-MX" sz="1400" baseline="0"/>
        </a:p>
        <a:p>
          <a:endParaRPr lang="es-MX" sz="1400" baseline="0"/>
        </a:p>
        <a:p>
          <a:r>
            <a:rPr lang="es-MX" sz="1400" baseline="0"/>
            <a:t>Para los fondos de renta variable se aplica la fórmula de Rendimiento </a:t>
          </a:r>
          <a:r>
            <a:rPr lang="es-MX" sz="1400" b="1" baseline="0">
              <a:solidFill>
                <a:schemeClr val="accent6">
                  <a:lumMod val="75000"/>
                </a:schemeClr>
              </a:solidFill>
            </a:rPr>
            <a:t>EFECTIVO:</a:t>
          </a:r>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a:p>
          <a:endParaRPr lang="es-MX" sz="1400" b="0" baseline="0">
            <a:solidFill>
              <a:sysClr val="windowText" lastClr="000000"/>
            </a:solidFill>
          </a:endParaRPr>
        </a:p>
      </xdr:txBody>
    </xdr:sp>
    <xdr:clientData/>
  </xdr:oneCellAnchor>
  <xdr:twoCellAnchor editAs="oneCell">
    <xdr:from>
      <xdr:col>8</xdr:col>
      <xdr:colOff>400051</xdr:colOff>
      <xdr:row>20</xdr:row>
      <xdr:rowOff>118717</xdr:rowOff>
    </xdr:from>
    <xdr:to>
      <xdr:col>12</xdr:col>
      <xdr:colOff>485776</xdr:colOff>
      <xdr:row>22</xdr:row>
      <xdr:rowOff>66134</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3"/>
        <a:srcRect b="9000"/>
        <a:stretch/>
      </xdr:blipFill>
      <xdr:spPr>
        <a:xfrm>
          <a:off x="7143751" y="7024342"/>
          <a:ext cx="3314700" cy="747517"/>
        </a:xfrm>
        <a:prstGeom prst="rect">
          <a:avLst/>
        </a:prstGeom>
      </xdr:spPr>
    </xdr:pic>
    <xdr:clientData/>
  </xdr:twoCellAnchor>
  <xdr:twoCellAnchor editAs="oneCell">
    <xdr:from>
      <xdr:col>7</xdr:col>
      <xdr:colOff>666749</xdr:colOff>
      <xdr:row>17</xdr:row>
      <xdr:rowOff>142875</xdr:rowOff>
    </xdr:from>
    <xdr:to>
      <xdr:col>13</xdr:col>
      <xdr:colOff>353553</xdr:colOff>
      <xdr:row>19</xdr:row>
      <xdr:rowOff>428625</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stretch>
          <a:fillRect/>
        </a:stretch>
      </xdr:blipFill>
      <xdr:spPr>
        <a:xfrm>
          <a:off x="6524624" y="5467350"/>
          <a:ext cx="4649329" cy="1104900"/>
        </a:xfrm>
        <a:prstGeom prst="rect">
          <a:avLst/>
        </a:prstGeom>
      </xdr:spPr>
    </xdr:pic>
    <xdr:clientData/>
  </xdr:twoCellAnchor>
  <xdr:oneCellAnchor>
    <xdr:from>
      <xdr:col>6</xdr:col>
      <xdr:colOff>295274</xdr:colOff>
      <xdr:row>12</xdr:row>
      <xdr:rowOff>409575</xdr:rowOff>
    </xdr:from>
    <xdr:ext cx="6486525" cy="1114425"/>
    <xdr:sp macro="" textlink="">
      <xdr:nvSpPr>
        <xdr:cNvPr id="12" name="7 CuadroTexto">
          <a:extLst>
            <a:ext uri="{FF2B5EF4-FFF2-40B4-BE49-F238E27FC236}">
              <a16:creationId xmlns:a16="http://schemas.microsoft.com/office/drawing/2014/main" id="{00000000-0008-0000-0000-00000C000000}"/>
            </a:ext>
          </a:extLst>
        </xdr:cNvPr>
        <xdr:cNvSpPr txBox="1"/>
      </xdr:nvSpPr>
      <xdr:spPr>
        <a:xfrm>
          <a:off x="5238749" y="3752850"/>
          <a:ext cx="6486525" cy="1114425"/>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MX" sz="1400"/>
            <a:t>Este reporte ha sido elaborado</a:t>
          </a:r>
          <a:r>
            <a:rPr lang="es-MX" sz="1400" baseline="0"/>
            <a:t> conforme a la Norma de Autorregulación  SERIE V. Número 4.5  Lineamientos a los que deberá sujetarse el material publicitario, promocional e informativo de los Fondos de Inversión, expedida por la Asociación Mexicana de Instituciones Bursátiles A.C., </a:t>
          </a:r>
          <a:r>
            <a:rPr lang="es-MX" sz="1400" baseline="0">
              <a:solidFill>
                <a:schemeClr val="tx1"/>
              </a:solidFill>
              <a:effectLst/>
              <a:latin typeface="+mn-lt"/>
              <a:ea typeface="+mn-ea"/>
              <a:cs typeface="+mn-cs"/>
            </a:rPr>
            <a:t>el 18 de enero de 2022. </a:t>
          </a:r>
          <a:endParaRPr lang="es-MX" sz="1400"/>
        </a:p>
      </xdr:txBody>
    </xdr:sp>
    <xdr:clientData/>
  </xdr:oneCellAnchor>
  <xdr:oneCellAnchor>
    <xdr:from>
      <xdr:col>6</xdr:col>
      <xdr:colOff>314325</xdr:colOff>
      <xdr:row>24</xdr:row>
      <xdr:rowOff>19050</xdr:rowOff>
    </xdr:from>
    <xdr:ext cx="6438900" cy="311496"/>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5257800" y="8105775"/>
          <a:ext cx="6438900" cy="311496"/>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MX" sz="1400"/>
            <a:t>Los rendimientos de los fondos de inversión son netos.</a:t>
          </a:r>
        </a:p>
      </xdr:txBody>
    </xdr:sp>
    <xdr:clientData/>
  </xdr:oneCellAnchor>
  <xdr:twoCellAnchor editAs="oneCell">
    <xdr:from>
      <xdr:col>0</xdr:col>
      <xdr:colOff>0</xdr:colOff>
      <xdr:row>0</xdr:row>
      <xdr:rowOff>0</xdr:rowOff>
    </xdr:from>
    <xdr:to>
      <xdr:col>4</xdr:col>
      <xdr:colOff>423802</xdr:colOff>
      <xdr:row>3</xdr:row>
      <xdr:rowOff>127906</xdr:rowOff>
    </xdr:to>
    <xdr:pic>
      <xdr:nvPicPr>
        <xdr:cNvPr id="4" name="Imagen 3" descr="Imagen que contiene botella, firmar, alimentos, dibujo&#10;&#10;El contenido generado por IA puede ser incorrect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38101</xdr:colOff>
      <xdr:row>14</xdr:row>
      <xdr:rowOff>57150</xdr:rowOff>
    </xdr:from>
    <xdr:to>
      <xdr:col>2</xdr:col>
      <xdr:colOff>619126</xdr:colOff>
      <xdr:row>17</xdr:row>
      <xdr:rowOff>141861</xdr:rowOff>
    </xdr:to>
    <xdr:pic>
      <xdr:nvPicPr>
        <xdr:cNvPr id="13" name="Imagen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stretch>
          <a:fillRect/>
        </a:stretch>
      </xdr:blipFill>
      <xdr:spPr>
        <a:xfrm>
          <a:off x="800101" y="3076575"/>
          <a:ext cx="2647950" cy="656211"/>
        </a:xfrm>
        <a:prstGeom prst="rect">
          <a:avLst/>
        </a:prstGeom>
      </xdr:spPr>
    </xdr:pic>
    <xdr:clientData/>
  </xdr:twoCellAnchor>
  <xdr:oneCellAnchor>
    <xdr:from>
      <xdr:col>4</xdr:col>
      <xdr:colOff>57150</xdr:colOff>
      <xdr:row>15</xdr:row>
      <xdr:rowOff>38100</xdr:rowOff>
    </xdr:from>
    <xdr:ext cx="465256" cy="264560"/>
    <xdr:sp macro="" textlink="">
      <xdr:nvSpPr>
        <xdr:cNvPr id="14" name="CuadroTexto 13">
          <a:extLst>
            <a:ext uri="{FF2B5EF4-FFF2-40B4-BE49-F238E27FC236}">
              <a16:creationId xmlns:a16="http://schemas.microsoft.com/office/drawing/2014/main" id="{00000000-0008-0000-0600-00000E000000}"/>
            </a:ext>
          </a:extLst>
        </xdr:cNvPr>
        <xdr:cNvSpPr txBox="1"/>
      </xdr:nvSpPr>
      <xdr:spPr>
        <a:xfrm>
          <a:off x="4295775" y="3248025"/>
          <a:ext cx="465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solidFill>
                <a:srgbClr val="0070C0"/>
              </a:solidFill>
            </a:rPr>
            <a:t>- 1  =</a:t>
          </a:r>
        </a:p>
      </xdr:txBody>
    </xdr:sp>
    <xdr:clientData/>
  </xdr:oneCellAnchor>
  <xdr:twoCellAnchor editAs="oneCell">
    <xdr:from>
      <xdr:col>0</xdr:col>
      <xdr:colOff>0</xdr:colOff>
      <xdr:row>30</xdr:row>
      <xdr:rowOff>142876</xdr:rowOff>
    </xdr:from>
    <xdr:to>
      <xdr:col>2</xdr:col>
      <xdr:colOff>619125</xdr:colOff>
      <xdr:row>37</xdr:row>
      <xdr:rowOff>103162</xdr:rowOff>
    </xdr:to>
    <xdr:pic>
      <xdr:nvPicPr>
        <xdr:cNvPr id="29" name="Imagen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2"/>
        <a:stretch>
          <a:fillRect/>
        </a:stretch>
      </xdr:blipFill>
      <xdr:spPr>
        <a:xfrm>
          <a:off x="762000" y="9877426"/>
          <a:ext cx="2686050" cy="1293786"/>
        </a:xfrm>
        <a:prstGeom prst="rect">
          <a:avLst/>
        </a:prstGeom>
      </xdr:spPr>
    </xdr:pic>
    <xdr:clientData/>
  </xdr:twoCellAnchor>
  <xdr:oneCellAnchor>
    <xdr:from>
      <xdr:col>4</xdr:col>
      <xdr:colOff>142875</xdr:colOff>
      <xdr:row>33</xdr:row>
      <xdr:rowOff>47625</xdr:rowOff>
    </xdr:from>
    <xdr:ext cx="465256" cy="264560"/>
    <xdr:sp macro="" textlink="">
      <xdr:nvSpPr>
        <xdr:cNvPr id="30" name="CuadroTexto 29">
          <a:extLst>
            <a:ext uri="{FF2B5EF4-FFF2-40B4-BE49-F238E27FC236}">
              <a16:creationId xmlns:a16="http://schemas.microsoft.com/office/drawing/2014/main" id="{00000000-0008-0000-0600-00001E000000}"/>
            </a:ext>
          </a:extLst>
        </xdr:cNvPr>
        <xdr:cNvSpPr txBox="1"/>
      </xdr:nvSpPr>
      <xdr:spPr>
        <a:xfrm>
          <a:off x="4171950" y="6924675"/>
          <a:ext cx="46525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MX" sz="1100">
              <a:solidFill>
                <a:srgbClr val="0070C0"/>
              </a:solidFill>
            </a:rPr>
            <a:t>- 1  =</a:t>
          </a:r>
        </a:p>
      </xdr:txBody>
    </xdr:sp>
    <xdr:clientData/>
  </xdr:oneCellAnchor>
  <xdr:twoCellAnchor editAs="oneCell">
    <xdr:from>
      <xdr:col>0</xdr:col>
      <xdr:colOff>1</xdr:colOff>
      <xdr:row>0</xdr:row>
      <xdr:rowOff>1</xdr:rowOff>
    </xdr:from>
    <xdr:to>
      <xdr:col>2</xdr:col>
      <xdr:colOff>962026</xdr:colOff>
      <xdr:row>2</xdr:row>
      <xdr:rowOff>194847</xdr:rowOff>
    </xdr:to>
    <xdr:pic>
      <xdr:nvPicPr>
        <xdr:cNvPr id="3" name="Imagen 2" descr="Imagen que contiene botella, firmar, alimentos, dibujo&#10;&#10;El contenido generado por IA puede ser incorrecto.">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 y="1"/>
          <a:ext cx="3028950" cy="5758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22</xdr:row>
      <xdr:rowOff>85725</xdr:rowOff>
    </xdr:from>
    <xdr:to>
      <xdr:col>12</xdr:col>
      <xdr:colOff>1076325</xdr:colOff>
      <xdr:row>62</xdr:row>
      <xdr:rowOff>85725</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28574</xdr:colOff>
      <xdr:row>16</xdr:row>
      <xdr:rowOff>38101</xdr:rowOff>
    </xdr:from>
    <xdr:ext cx="12011026" cy="1733549"/>
    <xdr:sp macro="" textlink="">
      <xdr:nvSpPr>
        <xdr:cNvPr id="7" name="10 CuadroTexto">
          <a:extLst>
            <a:ext uri="{FF2B5EF4-FFF2-40B4-BE49-F238E27FC236}">
              <a16:creationId xmlns:a16="http://schemas.microsoft.com/office/drawing/2014/main" id="{00000000-0008-0000-0100-000007000000}"/>
            </a:ext>
          </a:extLst>
        </xdr:cNvPr>
        <xdr:cNvSpPr txBox="1"/>
      </xdr:nvSpPr>
      <xdr:spPr>
        <a:xfrm>
          <a:off x="5934074" y="4076701"/>
          <a:ext cx="12011026"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2" name="Imagen 1" descr="Imagen que contiene botella, firmar, alimentos, dibujo&#10;&#10;El contenido generado por IA puede ser incorrect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0.32434</cdr:x>
      <cdr:y>0.9325</cdr:y>
    </cdr:from>
    <cdr:to>
      <cdr:x>0.43389</cdr:x>
      <cdr:y>0.97</cdr:y>
    </cdr:to>
    <cdr:sp macro="" textlink="'36 MESES'!$A$270">
      <cdr:nvSpPr>
        <cdr:cNvPr id="2" name="CuadroTexto 1">
          <a:extLst xmlns:a="http://schemas.openxmlformats.org/drawingml/2006/main">
            <a:ext uri="{FF2B5EF4-FFF2-40B4-BE49-F238E27FC236}">
              <a16:creationId xmlns:a16="http://schemas.microsoft.com/office/drawing/2014/main" id="{DC089FD8-2551-02FB-717B-8C7133831434}"/>
            </a:ext>
          </a:extLst>
        </cdr:cNvPr>
        <cdr:cNvSpPr txBox="1"/>
      </cdr:nvSpPr>
      <cdr:spPr>
        <a:xfrm xmlns:a="http://schemas.openxmlformats.org/drawingml/2006/main">
          <a:off x="5724526" y="7105650"/>
          <a:ext cx="1933574" cy="285750"/>
        </a:xfrm>
        <a:prstGeom xmlns:a="http://schemas.openxmlformats.org/drawingml/2006/main" prst="rect">
          <a:avLst/>
        </a:prstGeom>
        <a:solidFill xmlns:a="http://schemas.openxmlformats.org/drawingml/2006/main">
          <a:schemeClr val="accent6">
            <a:lumMod val="20000"/>
            <a:lumOff val="80000"/>
          </a:schemeClr>
        </a:solidFill>
      </cdr:spPr>
      <cdr:txBody>
        <a:bodyPr xmlns:a="http://schemas.openxmlformats.org/drawingml/2006/main" vertOverflow="clip" wrap="none" rtlCol="0"/>
        <a:lstStyle xmlns:a="http://schemas.openxmlformats.org/drawingml/2006/main"/>
        <a:p xmlns:a="http://schemas.openxmlformats.org/drawingml/2006/main">
          <a:pPr algn="ctr"/>
          <a:fld id="{55390B94-DB23-4F3C-8E03-E1EF8CABD2B3}" type="TxLink">
            <a:rPr lang="en-US" sz="1200" b="0" i="0" u="none" strike="noStrike">
              <a:solidFill>
                <a:srgbClr val="002060"/>
              </a:solidFill>
              <a:latin typeface="Calibri"/>
              <a:cs typeface="Calibri"/>
            </a:rPr>
            <a:pPr algn="ctr"/>
            <a:t>$148.71</a:t>
          </a:fld>
          <a:endParaRPr lang="es-MX" sz="1200">
            <a:solidFill>
              <a:srgbClr val="002060"/>
            </a:solidFill>
          </a:endParaRPr>
        </a:p>
      </cdr:txBody>
    </cdr:sp>
  </cdr:relSizeAnchor>
  <cdr:relSizeAnchor xmlns:cdr="http://schemas.openxmlformats.org/drawingml/2006/chartDrawing">
    <cdr:from>
      <cdr:x>0.55154</cdr:x>
      <cdr:y>0.93</cdr:y>
    </cdr:from>
    <cdr:to>
      <cdr:x>0.66271</cdr:x>
      <cdr:y>0.9725</cdr:y>
    </cdr:to>
    <cdr:sp macro="" textlink="'36 MESES'!$B$270">
      <cdr:nvSpPr>
        <cdr:cNvPr id="3" name="CuadroTexto 2">
          <a:extLst xmlns:a="http://schemas.openxmlformats.org/drawingml/2006/main">
            <a:ext uri="{FF2B5EF4-FFF2-40B4-BE49-F238E27FC236}">
              <a16:creationId xmlns:a16="http://schemas.microsoft.com/office/drawing/2014/main" id="{3854C19F-1289-554C-B29C-91618C4BFA7C}"/>
            </a:ext>
          </a:extLst>
        </cdr:cNvPr>
        <cdr:cNvSpPr txBox="1"/>
      </cdr:nvSpPr>
      <cdr:spPr>
        <a:xfrm xmlns:a="http://schemas.openxmlformats.org/drawingml/2006/main">
          <a:off x="9734548" y="7086600"/>
          <a:ext cx="1962151" cy="323850"/>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258A50DE-1F62-42D0-B0A9-FA6EE098579A}" type="TxLink">
            <a:rPr lang="en-US" sz="1200" b="0" i="0" u="none" strike="noStrike">
              <a:solidFill>
                <a:srgbClr val="002060"/>
              </a:solidFill>
              <a:latin typeface="Calibri"/>
              <a:cs typeface="Calibri"/>
            </a:rPr>
            <a:pPr algn="ctr"/>
            <a:t>$126.09</a:t>
          </a:fld>
          <a:endParaRPr lang="es-MX" sz="1200">
            <a:solidFill>
              <a:srgbClr val="002060"/>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20</xdr:row>
      <xdr:rowOff>95250</xdr:rowOff>
    </xdr:from>
    <xdr:to>
      <xdr:col>12</xdr:col>
      <xdr:colOff>962024</xdr:colOff>
      <xdr:row>62</xdr:row>
      <xdr:rowOff>114300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1485900</xdr:colOff>
      <xdr:row>16</xdr:row>
      <xdr:rowOff>142875</xdr:rowOff>
    </xdr:from>
    <xdr:ext cx="12011026" cy="1733549"/>
    <xdr:sp macro="" textlink="">
      <xdr:nvSpPr>
        <xdr:cNvPr id="6" name="10 CuadroTexto">
          <a:extLst>
            <a:ext uri="{FF2B5EF4-FFF2-40B4-BE49-F238E27FC236}">
              <a16:creationId xmlns:a16="http://schemas.microsoft.com/office/drawing/2014/main" id="{00000000-0008-0000-0200-000006000000}"/>
            </a:ext>
          </a:extLst>
        </xdr:cNvPr>
        <xdr:cNvSpPr txBox="1"/>
      </xdr:nvSpPr>
      <xdr:spPr>
        <a:xfrm>
          <a:off x="5876925" y="3895725"/>
          <a:ext cx="12011026"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oneCellAnchor>
    <xdr:from>
      <xdr:col>3</xdr:col>
      <xdr:colOff>695325</xdr:colOff>
      <xdr:row>59</xdr:row>
      <xdr:rowOff>180975</xdr:rowOff>
    </xdr:from>
    <xdr:ext cx="2186710" cy="280205"/>
    <xdr:sp macro="" textlink="$D$235">
      <xdr:nvSpPr>
        <xdr:cNvPr id="4" name="CuadroTexto 3">
          <a:extLst>
            <a:ext uri="{FF2B5EF4-FFF2-40B4-BE49-F238E27FC236}">
              <a16:creationId xmlns:a16="http://schemas.microsoft.com/office/drawing/2014/main" id="{00000000-0008-0000-0200-000004000000}"/>
            </a:ext>
          </a:extLst>
        </xdr:cNvPr>
        <xdr:cNvSpPr txBox="1"/>
      </xdr:nvSpPr>
      <xdr:spPr>
        <a:xfrm>
          <a:off x="5086350" y="13392150"/>
          <a:ext cx="2186710" cy="280205"/>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5B6F2CB7-06D9-44FA-87F6-C3E3C74FB2AE}" type="TxLink">
            <a:rPr lang="en-US" sz="1200" b="0" i="0" u="none" strike="noStrike">
              <a:solidFill>
                <a:srgbClr val="002060"/>
              </a:solidFill>
              <a:latin typeface="Calibri"/>
              <a:cs typeface="Calibri"/>
            </a:rPr>
            <a:pPr algn="ctr"/>
            <a:t>$161.80</a:t>
          </a:fld>
          <a:endParaRPr lang="es-MX" sz="1200">
            <a:solidFill>
              <a:srgbClr val="002060"/>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5" name="Imagen 4" descr="Imagen que contiene botella, firmar, alimentos, dibujo&#10;&#10;El contenido generado por IA puede ser incorrecto.">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0.52856</cdr:x>
      <cdr:y>0.92993</cdr:y>
    </cdr:from>
    <cdr:to>
      <cdr:x>0.65625</cdr:x>
      <cdr:y>0.9715</cdr:y>
    </cdr:to>
    <cdr:sp macro="" textlink="'24 MESES'!$E$235">
      <cdr:nvSpPr>
        <cdr:cNvPr id="2" name="CuadroTexto 1">
          <a:extLst xmlns:a="http://schemas.openxmlformats.org/drawingml/2006/main">
            <a:ext uri="{FF2B5EF4-FFF2-40B4-BE49-F238E27FC236}">
              <a16:creationId xmlns:a16="http://schemas.microsoft.com/office/drawing/2014/main" id="{66542B51-945F-F348-CE70-570C14302C48}"/>
            </a:ext>
          </a:extLst>
        </cdr:cNvPr>
        <cdr:cNvSpPr txBox="1"/>
      </cdr:nvSpPr>
      <cdr:spPr>
        <a:xfrm xmlns:a="http://schemas.openxmlformats.org/drawingml/2006/main">
          <a:off x="9344095" y="7458085"/>
          <a:ext cx="2257355" cy="333394"/>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092E9486-F4AA-4886-9E6E-8E5C3AEF1011}" type="TxLink">
            <a:rPr lang="en-US" sz="1100" b="0" i="0" u="none" strike="noStrike">
              <a:solidFill>
                <a:srgbClr val="002060"/>
              </a:solidFill>
              <a:latin typeface="Calibri"/>
              <a:cs typeface="Calibri"/>
            </a:rPr>
            <a:pPr algn="ctr"/>
            <a:t>$118.27</a:t>
          </a:fld>
          <a:endParaRPr lang="es-MX" sz="1100">
            <a:solidFill>
              <a:srgbClr val="002060"/>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21</xdr:row>
      <xdr:rowOff>76200</xdr:rowOff>
    </xdr:from>
    <xdr:to>
      <xdr:col>12</xdr:col>
      <xdr:colOff>781050</xdr:colOff>
      <xdr:row>60</xdr:row>
      <xdr:rowOff>152400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3</xdr:col>
      <xdr:colOff>1466850</xdr:colOff>
      <xdr:row>16</xdr:row>
      <xdr:rowOff>38100</xdr:rowOff>
    </xdr:from>
    <xdr:ext cx="11334750" cy="1733549"/>
    <xdr:sp macro="" textlink="">
      <xdr:nvSpPr>
        <xdr:cNvPr id="6" name="10 CuadroTexto">
          <a:extLst>
            <a:ext uri="{FF2B5EF4-FFF2-40B4-BE49-F238E27FC236}">
              <a16:creationId xmlns:a16="http://schemas.microsoft.com/office/drawing/2014/main" id="{00000000-0008-0000-0300-000006000000}"/>
            </a:ext>
          </a:extLst>
        </xdr:cNvPr>
        <xdr:cNvSpPr txBox="1"/>
      </xdr:nvSpPr>
      <xdr:spPr>
        <a:xfrm>
          <a:off x="5857875" y="3952875"/>
          <a:ext cx="11334750" cy="1733549"/>
        </a:xfrm>
        <a:prstGeom prst="rect">
          <a:avLst/>
        </a:prstGeom>
        <a:solidFill>
          <a:schemeClr val="bg1">
            <a:lumMod val="95000"/>
          </a:schemeClr>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r>
            <a:rPr lang="es-MX" sz="1400" b="1">
              <a:solidFill>
                <a:srgbClr val="C00000"/>
              </a:solidFill>
            </a:rPr>
            <a:t>MUY IMPORTANTE</a:t>
          </a:r>
          <a:endParaRPr lang="es-MX" sz="1400" b="0">
            <a:solidFill>
              <a:schemeClr val="tx1"/>
            </a:solidFill>
          </a:endParaRPr>
        </a:p>
        <a:p>
          <a:pPr algn="l"/>
          <a:r>
            <a:rPr lang="es-MX" sz="1400" b="0">
              <a:solidFill>
                <a:schemeClr val="tx1"/>
              </a:solidFill>
            </a:rPr>
            <a:t>El presente reporte emitido por Fondos de Inversión Multiva, S.A. de C.V. Sociedad Operadora de Fondos de Inversión  (Fondos de Inversión Multiva) está elaborado con datos históricos reales y de acceso público, mismos que se presentan de manera informativa y no  constituyen una propuesta de inversión, ni una recomendación para la toma de decisiones de inversión, ni representan la postura de Fondos de Inversión Multiva. Los rendimientos pasados no garantizan rendimientos futuros. </a:t>
          </a:r>
        </a:p>
        <a:p>
          <a:pPr algn="l"/>
          <a:endParaRPr lang="es-MX" sz="1600" b="1">
            <a:solidFill>
              <a:schemeClr val="tx1"/>
            </a:solidFill>
          </a:endParaRPr>
        </a:p>
        <a:p>
          <a:pPr marL="0" marR="0" indent="0" algn="l" defTabSz="914400" eaLnBrk="1" fontAlgn="auto" latinLnBrk="0" hangingPunct="1">
            <a:lnSpc>
              <a:spcPct val="100000"/>
            </a:lnSpc>
            <a:spcBef>
              <a:spcPts val="0"/>
            </a:spcBef>
            <a:spcAft>
              <a:spcPts val="0"/>
            </a:spcAft>
            <a:buClrTx/>
            <a:buSzTx/>
            <a:buFontTx/>
            <a:buNone/>
            <a:tabLst/>
            <a:defRPr/>
          </a:pPr>
          <a:r>
            <a:rPr lang="es-MX" sz="1400" b="1">
              <a:solidFill>
                <a:schemeClr val="tx1"/>
              </a:solidFill>
              <a:latin typeface="+mn-lt"/>
              <a:ea typeface="+mn-ea"/>
              <a:cs typeface="+mn-cs"/>
            </a:rPr>
            <a:t>Antes de invertir, leer atentamente el prospecto y el documento clave de este fondo, disponibles en </a:t>
          </a:r>
          <a:r>
            <a:rPr lang="es-MX" sz="1400" b="1">
              <a:solidFill>
                <a:srgbClr val="0000FF"/>
              </a:solidFill>
              <a:latin typeface="+mn-lt"/>
              <a:ea typeface="+mn-ea"/>
              <a:cs typeface="+mn-cs"/>
            </a:rPr>
            <a:t>www.multiva.com.mx</a:t>
          </a:r>
          <a:endParaRPr lang="es-MX" sz="1400">
            <a:solidFill>
              <a:srgbClr val="0000FF"/>
            </a:solidFill>
          </a:endParaRPr>
        </a:p>
      </xdr:txBody>
    </xdr:sp>
    <xdr:clientData/>
  </xdr:oneCellAnchor>
  <xdr:twoCellAnchor editAs="oneCell">
    <xdr:from>
      <xdr:col>0</xdr:col>
      <xdr:colOff>0</xdr:colOff>
      <xdr:row>0</xdr:row>
      <xdr:rowOff>0</xdr:rowOff>
    </xdr:from>
    <xdr:to>
      <xdr:col>2</xdr:col>
      <xdr:colOff>852427</xdr:colOff>
      <xdr:row>3</xdr:row>
      <xdr:rowOff>127906</xdr:rowOff>
    </xdr:to>
    <xdr:pic>
      <xdr:nvPicPr>
        <xdr:cNvPr id="4" name="Imagen 3" descr="Imagen que contiene botella, firmar, alimentos, dibujo&#10;&#10;El contenido generado por IA puede ser incorrecto.">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3728977" cy="708931"/>
        </a:xfrm>
        <a:prstGeom prst="rect">
          <a:avLst/>
        </a:prstGeom>
      </xdr:spPr>
    </xdr:pic>
    <xdr:clientData/>
  </xdr:twoCellAnchor>
</xdr:wsDr>
</file>

<file path=xl/drawings/drawing7.xml><?xml version="1.0" encoding="utf-8"?>
<c:userShapes xmlns:c="http://schemas.openxmlformats.org/drawingml/2006/chart">
  <cdr:relSizeAnchor xmlns:cdr="http://schemas.openxmlformats.org/drawingml/2006/chartDrawing">
    <cdr:from>
      <cdr:x>0.32575</cdr:x>
      <cdr:y>0.91497</cdr:y>
    </cdr:from>
    <cdr:to>
      <cdr:x>0.45253</cdr:x>
      <cdr:y>0.95431</cdr:y>
    </cdr:to>
    <cdr:sp macro="" textlink="'12 MESES'!$E$86">
      <cdr:nvSpPr>
        <cdr:cNvPr id="2" name="CuadroTexto 1">
          <a:extLst xmlns:a="http://schemas.openxmlformats.org/drawingml/2006/main">
            <a:ext uri="{FF2B5EF4-FFF2-40B4-BE49-F238E27FC236}">
              <a16:creationId xmlns:a16="http://schemas.microsoft.com/office/drawing/2014/main" id="{8880073E-3532-691A-8BE6-34F17B83C864}"/>
            </a:ext>
          </a:extLst>
        </cdr:cNvPr>
        <cdr:cNvSpPr txBox="1"/>
      </cdr:nvSpPr>
      <cdr:spPr>
        <a:xfrm xmlns:a="http://schemas.openxmlformats.org/drawingml/2006/main">
          <a:off x="5457825" y="6867525"/>
          <a:ext cx="2124075" cy="295276"/>
        </a:xfrm>
        <a:prstGeom xmlns:a="http://schemas.openxmlformats.org/drawingml/2006/main" prst="rect">
          <a:avLst/>
        </a:prstGeom>
        <a:solidFill xmlns:a="http://schemas.openxmlformats.org/drawingml/2006/main">
          <a:schemeClr val="accent6">
            <a:lumMod val="20000"/>
            <a:lumOff val="80000"/>
          </a:schemeClr>
        </a:solidFill>
      </cdr:spPr>
      <cdr:txBody>
        <a:bodyPr xmlns:a="http://schemas.openxmlformats.org/drawingml/2006/main" vertOverflow="clip" wrap="none" rtlCol="0"/>
        <a:lstStyle xmlns:a="http://schemas.openxmlformats.org/drawingml/2006/main"/>
        <a:p xmlns:a="http://schemas.openxmlformats.org/drawingml/2006/main">
          <a:pPr algn="ctr"/>
          <a:fld id="{F3F11542-6E1F-4CA9-84F0-224BF58E6393}" type="TxLink">
            <a:rPr lang="en-US" sz="1200" b="0" i="0" u="none" strike="noStrike">
              <a:solidFill>
                <a:srgbClr val="002060"/>
              </a:solidFill>
              <a:latin typeface="Calibri"/>
              <a:cs typeface="Calibri"/>
            </a:rPr>
            <a:pPr algn="ctr"/>
            <a:t>$105.56</a:t>
          </a:fld>
          <a:endParaRPr lang="es-MX" sz="1200">
            <a:solidFill>
              <a:srgbClr val="002060"/>
            </a:solidFill>
          </a:endParaRPr>
        </a:p>
      </cdr:txBody>
    </cdr:sp>
  </cdr:relSizeAnchor>
  <cdr:relSizeAnchor xmlns:cdr="http://schemas.openxmlformats.org/drawingml/2006/chartDrawing">
    <cdr:from>
      <cdr:x>0.60603</cdr:x>
      <cdr:y>0.9099</cdr:y>
    </cdr:from>
    <cdr:to>
      <cdr:x>0.73565</cdr:x>
      <cdr:y>0.95431</cdr:y>
    </cdr:to>
    <cdr:sp macro="" textlink="'12 MESES'!$F$86">
      <cdr:nvSpPr>
        <cdr:cNvPr id="3" name="CuadroTexto 2">
          <a:extLst xmlns:a="http://schemas.openxmlformats.org/drawingml/2006/main">
            <a:ext uri="{FF2B5EF4-FFF2-40B4-BE49-F238E27FC236}">
              <a16:creationId xmlns:a16="http://schemas.microsoft.com/office/drawing/2014/main" id="{F43E4D21-CC6D-D53B-70A2-24A2FCC2CC4C}"/>
            </a:ext>
          </a:extLst>
        </cdr:cNvPr>
        <cdr:cNvSpPr txBox="1"/>
      </cdr:nvSpPr>
      <cdr:spPr>
        <a:xfrm xmlns:a="http://schemas.openxmlformats.org/drawingml/2006/main">
          <a:off x="10153714" y="6829458"/>
          <a:ext cx="2171716" cy="333328"/>
        </a:xfrm>
        <a:prstGeom xmlns:a="http://schemas.openxmlformats.org/drawingml/2006/main" prst="rect">
          <a:avLst/>
        </a:prstGeom>
        <a:solidFill xmlns:a="http://schemas.openxmlformats.org/drawingml/2006/main">
          <a:schemeClr val="bg1">
            <a:lumMod val="95000"/>
          </a:schemeClr>
        </a:solidFill>
      </cdr:spPr>
      <cdr:txBody>
        <a:bodyPr xmlns:a="http://schemas.openxmlformats.org/drawingml/2006/main" vertOverflow="clip" wrap="none" rtlCol="0"/>
        <a:lstStyle xmlns:a="http://schemas.openxmlformats.org/drawingml/2006/main"/>
        <a:p xmlns:a="http://schemas.openxmlformats.org/drawingml/2006/main">
          <a:pPr algn="ctr"/>
          <a:fld id="{5A7A9D09-23F8-4841-A123-4288FD4A58B7}" type="TxLink">
            <a:rPr lang="en-US" sz="1200" b="0" i="0" u="none" strike="noStrike">
              <a:solidFill>
                <a:srgbClr val="002060"/>
              </a:solidFill>
              <a:latin typeface="Calibri"/>
              <a:cs typeface="Calibri"/>
            </a:rPr>
            <a:pPr algn="ctr"/>
            <a:t>$101.97</a:t>
          </a:fld>
          <a:endParaRPr lang="es-MX" sz="1200">
            <a:solidFill>
              <a:srgbClr val="002060"/>
            </a:solidFill>
          </a:endParaRP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66675</xdr:rowOff>
    </xdr:from>
    <xdr:to>
      <xdr:col>7</xdr:col>
      <xdr:colOff>609601</xdr:colOff>
      <xdr:row>37</xdr:row>
      <xdr:rowOff>85726</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1"/>
        <a:srcRect l="30993" t="17503" r="36815" b="11284"/>
        <a:stretch/>
      </xdr:blipFill>
      <xdr:spPr>
        <a:xfrm>
          <a:off x="57150" y="66675"/>
          <a:ext cx="5886451" cy="7324726"/>
        </a:xfrm>
        <a:prstGeom prst="rect">
          <a:avLst/>
        </a:prstGeom>
      </xdr:spPr>
    </xdr:pic>
    <xdr:clientData/>
  </xdr:twoCellAnchor>
  <xdr:twoCellAnchor editAs="oneCell">
    <xdr:from>
      <xdr:col>8</xdr:col>
      <xdr:colOff>66674</xdr:colOff>
      <xdr:row>0</xdr:row>
      <xdr:rowOff>171450</xdr:rowOff>
    </xdr:from>
    <xdr:to>
      <xdr:col>15</xdr:col>
      <xdr:colOff>66675</xdr:colOff>
      <xdr:row>44</xdr:row>
      <xdr:rowOff>133351</xdr:rowOff>
    </xdr:to>
    <xdr:pic>
      <xdr:nvPicPr>
        <xdr:cNvPr id="9" name="Imagen 8">
          <a:extLst>
            <a:ext uri="{FF2B5EF4-FFF2-40B4-BE49-F238E27FC236}">
              <a16:creationId xmlns:a16="http://schemas.microsoft.com/office/drawing/2014/main" id="{00000000-0008-0000-0400-000009000000}"/>
            </a:ext>
          </a:extLst>
        </xdr:cNvPr>
        <xdr:cNvPicPr>
          <a:picLocks noChangeAspect="1"/>
        </xdr:cNvPicPr>
      </xdr:nvPicPr>
      <xdr:blipFill rotWithShape="1">
        <a:blip xmlns:r="http://schemas.openxmlformats.org/officeDocument/2006/relationships" r:embed="rId2"/>
        <a:srcRect l="31202" t="11575" r="39627" b="4803"/>
        <a:stretch/>
      </xdr:blipFill>
      <xdr:spPr>
        <a:xfrm>
          <a:off x="6162674" y="171450"/>
          <a:ext cx="5334001" cy="860107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16</xdr:row>
      <xdr:rowOff>0</xdr:rowOff>
    </xdr:from>
    <xdr:to>
      <xdr:col>4</xdr:col>
      <xdr:colOff>289462</xdr:colOff>
      <xdr:row>19</xdr:row>
      <xdr:rowOff>29254</xdr:rowOff>
    </xdr:to>
    <xdr:grpSp>
      <xdr:nvGrpSpPr>
        <xdr:cNvPr id="18" name="Grupo 17">
          <a:extLst>
            <a:ext uri="{FF2B5EF4-FFF2-40B4-BE49-F238E27FC236}">
              <a16:creationId xmlns:a16="http://schemas.microsoft.com/office/drawing/2014/main" id="{00000000-0008-0000-0500-000012000000}"/>
            </a:ext>
          </a:extLst>
        </xdr:cNvPr>
        <xdr:cNvGrpSpPr/>
      </xdr:nvGrpSpPr>
      <xdr:grpSpPr>
        <a:xfrm>
          <a:off x="0" y="3390900"/>
          <a:ext cx="3489862" cy="581704"/>
          <a:chOff x="4409359" y="2236056"/>
          <a:chExt cx="3337462" cy="600754"/>
        </a:xfrm>
      </xdr:grpSpPr>
      <xdr:sp macro="" textlink="">
        <xdr:nvSpPr>
          <xdr:cNvPr id="19" name="CuadroTexto 18">
            <a:extLst>
              <a:ext uri="{FF2B5EF4-FFF2-40B4-BE49-F238E27FC236}">
                <a16:creationId xmlns:a16="http://schemas.microsoft.com/office/drawing/2014/main" id="{00000000-0008-0000-0500-000013000000}"/>
              </a:ext>
            </a:extLst>
          </xdr:cNvPr>
          <xdr:cNvSpPr txBox="1"/>
        </xdr:nvSpPr>
        <xdr:spPr>
          <a:xfrm>
            <a:off x="4409359" y="2367281"/>
            <a:ext cx="1053737" cy="46166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Rendimiento Efectivo</a:t>
            </a:r>
            <a:endParaRPr lang="es-MX" sz="1200">
              <a:latin typeface="Arial" panose="020B0604020202020204" pitchFamily="34" charset="0"/>
              <a:cs typeface="Arial" panose="020B0604020202020204" pitchFamily="34" charset="0"/>
            </a:endParaRPr>
          </a:p>
        </xdr:txBody>
      </xdr:sp>
      <xdr:sp macro="" textlink="">
        <xdr:nvSpPr>
          <xdr:cNvPr id="20" name="CuadroTexto 19">
            <a:extLst>
              <a:ext uri="{FF2B5EF4-FFF2-40B4-BE49-F238E27FC236}">
                <a16:creationId xmlns:a16="http://schemas.microsoft.com/office/drawing/2014/main" id="{00000000-0008-0000-0500-000014000000}"/>
              </a:ext>
            </a:extLst>
          </xdr:cNvPr>
          <xdr:cNvSpPr txBox="1"/>
        </xdr:nvSpPr>
        <xdr:spPr>
          <a:xfrm>
            <a:off x="5463096" y="2367281"/>
            <a:ext cx="300082" cy="369332"/>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a:t>=</a:t>
            </a:r>
            <a:endParaRPr lang="es-MX"/>
          </a:p>
        </xdr:txBody>
      </xdr:sp>
      <xdr:sp macro="" textlink="">
        <xdr:nvSpPr>
          <xdr:cNvPr id="21" name="CuadroTexto 20">
            <a:extLst>
              <a:ext uri="{FF2B5EF4-FFF2-40B4-BE49-F238E27FC236}">
                <a16:creationId xmlns:a16="http://schemas.microsoft.com/office/drawing/2014/main" id="{00000000-0008-0000-0500-000015000000}"/>
              </a:ext>
            </a:extLst>
          </xdr:cNvPr>
          <xdr:cNvSpPr txBox="1"/>
        </xdr:nvSpPr>
        <xdr:spPr>
          <a:xfrm>
            <a:off x="6011366" y="2274948"/>
            <a:ext cx="1053737" cy="276999"/>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Precio Final</a:t>
            </a:r>
            <a:endParaRPr lang="es-MX" sz="1200">
              <a:latin typeface="Arial" panose="020B0604020202020204" pitchFamily="34" charset="0"/>
              <a:cs typeface="Arial" panose="020B0604020202020204" pitchFamily="34" charset="0"/>
            </a:endParaRPr>
          </a:p>
        </xdr:txBody>
      </xdr:sp>
      <xdr:sp macro="" textlink="">
        <xdr:nvSpPr>
          <xdr:cNvPr id="22" name="CuadroTexto 21">
            <a:extLst>
              <a:ext uri="{FF2B5EF4-FFF2-40B4-BE49-F238E27FC236}">
                <a16:creationId xmlns:a16="http://schemas.microsoft.com/office/drawing/2014/main" id="{00000000-0008-0000-0500-000016000000}"/>
              </a:ext>
            </a:extLst>
          </xdr:cNvPr>
          <xdr:cNvSpPr txBox="1"/>
        </xdr:nvSpPr>
        <xdr:spPr>
          <a:xfrm>
            <a:off x="6046202" y="2559811"/>
            <a:ext cx="1053737" cy="276999"/>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ES" sz="1200">
                <a:latin typeface="Arial" panose="020B0604020202020204" pitchFamily="34" charset="0"/>
                <a:cs typeface="Arial" panose="020B0604020202020204" pitchFamily="34" charset="0"/>
              </a:rPr>
              <a:t>Precio Inicial</a:t>
            </a:r>
            <a:endParaRPr lang="es-MX" sz="1200">
              <a:latin typeface="Arial" panose="020B0604020202020204" pitchFamily="34" charset="0"/>
              <a:cs typeface="Arial" panose="020B0604020202020204" pitchFamily="34" charset="0"/>
            </a:endParaRPr>
          </a:p>
        </xdr:txBody>
      </xdr:sp>
      <xdr:cxnSp macro="">
        <xdr:nvCxnSpPr>
          <xdr:cNvPr id="23" name="Conector recto 22">
            <a:extLst>
              <a:ext uri="{FF2B5EF4-FFF2-40B4-BE49-F238E27FC236}">
                <a16:creationId xmlns:a16="http://schemas.microsoft.com/office/drawing/2014/main" id="{00000000-0008-0000-0500-000017000000}"/>
              </a:ext>
            </a:extLst>
          </xdr:cNvPr>
          <xdr:cNvCxnSpPr/>
        </xdr:nvCxnSpPr>
        <xdr:spPr>
          <a:xfrm>
            <a:off x="5976530" y="2551947"/>
            <a:ext cx="1123041"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CuadroTexto 23">
            <a:extLst>
              <a:ext uri="{FF2B5EF4-FFF2-40B4-BE49-F238E27FC236}">
                <a16:creationId xmlns:a16="http://schemas.microsoft.com/office/drawing/2014/main" id="{00000000-0008-0000-0500-000018000000}"/>
              </a:ext>
            </a:extLst>
          </xdr:cNvPr>
          <xdr:cNvSpPr txBox="1"/>
        </xdr:nvSpPr>
        <xdr:spPr>
          <a:xfrm>
            <a:off x="7166855" y="2343778"/>
            <a:ext cx="399468" cy="369332"/>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a:t>- </a:t>
            </a:r>
            <a:r>
              <a:rPr lang="es-ES" sz="1400"/>
              <a:t>1</a:t>
            </a:r>
            <a:endParaRPr lang="es-MX"/>
          </a:p>
        </xdr:txBody>
      </xdr:sp>
      <xdr:sp macro="" textlink="">
        <xdr:nvSpPr>
          <xdr:cNvPr id="25" name="CuadroTexto 24">
            <a:extLst>
              <a:ext uri="{FF2B5EF4-FFF2-40B4-BE49-F238E27FC236}">
                <a16:creationId xmlns:a16="http://schemas.microsoft.com/office/drawing/2014/main" id="{00000000-0008-0000-0500-000019000000}"/>
              </a:ext>
            </a:extLst>
          </xdr:cNvPr>
          <xdr:cNvSpPr txBox="1"/>
        </xdr:nvSpPr>
        <xdr:spPr>
          <a:xfrm>
            <a:off x="5728230" y="2236056"/>
            <a:ext cx="309700" cy="58477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3200"/>
              <a:t>(</a:t>
            </a:r>
            <a:endParaRPr lang="es-MX" sz="3200"/>
          </a:p>
        </xdr:txBody>
      </xdr:sp>
      <xdr:sp macro="" textlink="">
        <xdr:nvSpPr>
          <xdr:cNvPr id="26" name="CuadroTexto 25">
            <a:extLst>
              <a:ext uri="{FF2B5EF4-FFF2-40B4-BE49-F238E27FC236}">
                <a16:creationId xmlns:a16="http://schemas.microsoft.com/office/drawing/2014/main" id="{00000000-0008-0000-0500-00001A000000}"/>
              </a:ext>
            </a:extLst>
          </xdr:cNvPr>
          <xdr:cNvSpPr txBox="1"/>
        </xdr:nvSpPr>
        <xdr:spPr>
          <a:xfrm>
            <a:off x="7437121" y="2244764"/>
            <a:ext cx="309700" cy="584775"/>
          </a:xfrm>
          <a:prstGeom prst="rect">
            <a:avLst/>
          </a:prstGeom>
          <a:noFill/>
        </xdr:spPr>
        <xdr:txBody>
          <a:bodyPr wrap="square" rtlCol="0">
            <a:sp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ES" sz="3200"/>
              <a:t>)</a:t>
            </a:r>
            <a:endParaRPr lang="es-MX" sz="3200"/>
          </a:p>
        </xdr:txBody>
      </xdr:sp>
    </xdr:grpSp>
    <xdr:clientData/>
  </xdr:twoCellAnchor>
  <xdr:twoCellAnchor editAs="oneCell">
    <xdr:from>
      <xdr:col>0</xdr:col>
      <xdr:colOff>0</xdr:colOff>
      <xdr:row>5</xdr:row>
      <xdr:rowOff>57150</xdr:rowOff>
    </xdr:from>
    <xdr:to>
      <xdr:col>6</xdr:col>
      <xdr:colOff>79651</xdr:colOff>
      <xdr:row>11</xdr:row>
      <xdr:rowOff>17622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733425"/>
          <a:ext cx="4651651" cy="11034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RICE%20VENDOR/INDICADORES%20DE%20GESTION/CATALOGOS.xlsx" TargetMode="External"/><Relationship Id="rId2" Type="http://schemas.openxmlformats.org/officeDocument/2006/relationships/externalLinkPath" Target="https://bancomultiva-my.sharepoint.com/personal/carlos_rodal_multiva_com_mx/Documents/Documentos/PRICE%20VENDOR/INDICADORES%20DE%20GESTION/CATALOGOS.xlsx" TargetMode="External"/><Relationship Id="rId1" Type="http://schemas.openxmlformats.org/officeDocument/2006/relationships/externalLinkPath" Target="/personal/carlos_rodal_multiva_com_mx/Documents/Documentos/PRICE%20VENDOR/INDICADORES%20DE%20GESTION/CATALO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ATALOGO"/>
      <sheetName val="INTEGRAL"/>
      <sheetName val="MVJER FEB 2019"/>
      <sheetName val="Hoja2"/>
      <sheetName val="CALIF HR"/>
    </sheetNames>
    <sheetDataSet>
      <sheetData sheetId="0">
        <row r="3">
          <cell r="B3" t="str">
            <v>Fondo</v>
          </cell>
          <cell r="C3" t="str">
            <v>Horario Cierre</v>
          </cell>
          <cell r="D3" t="str">
            <v>Asignación</v>
          </cell>
          <cell r="E3" t="str">
            <v>Liquidación</v>
          </cell>
          <cell r="F3" t="str">
            <v>Salidas</v>
          </cell>
          <cell r="G3" t="str">
            <v>Adquirentes</v>
          </cell>
          <cell r="H3" t="str">
            <v>Inversión mínima</v>
          </cell>
          <cell r="I3" t="str">
            <v>Horizonte</v>
          </cell>
          <cell r="J3" t="str">
            <v>FÓRMULA PARA CÁLCULO DE RENDIMIENTO</v>
          </cell>
          <cell r="K3" t="str">
            <v>Cuota de Remuneración</v>
          </cell>
          <cell r="L3" t="str">
            <v>Calificación</v>
          </cell>
          <cell r="M3" t="str">
            <v>Mercado</v>
          </cell>
          <cell r="N3" t="str">
            <v>Precio asigna</v>
          </cell>
          <cell r="O3" t="str">
            <v>Categoría</v>
          </cell>
          <cell r="P3" t="str">
            <v>Cuota Total</v>
          </cell>
        </row>
        <row r="4">
          <cell r="B4">
            <v>1</v>
          </cell>
          <cell r="C4">
            <v>2</v>
          </cell>
          <cell r="D4">
            <v>3</v>
          </cell>
          <cell r="E4">
            <v>4</v>
          </cell>
          <cell r="F4">
            <v>5</v>
          </cell>
          <cell r="G4">
            <v>6</v>
          </cell>
          <cell r="H4">
            <v>7</v>
          </cell>
          <cell r="I4">
            <v>8</v>
          </cell>
          <cell r="J4">
            <v>9</v>
          </cell>
          <cell r="K4">
            <v>10</v>
          </cell>
          <cell r="L4">
            <v>11</v>
          </cell>
          <cell r="M4">
            <v>12</v>
          </cell>
          <cell r="N4">
            <v>13</v>
          </cell>
          <cell r="O4">
            <v>14</v>
          </cell>
          <cell r="P4">
            <v>15</v>
          </cell>
        </row>
        <row r="6">
          <cell r="B6" t="str">
            <v>MVJER</v>
          </cell>
          <cell r="C6">
            <v>0.5625</v>
          </cell>
          <cell r="D6" t="str">
            <v>Mismo día</v>
          </cell>
          <cell r="E6" t="str">
            <v>Mismo día</v>
          </cell>
          <cell r="F6" t="str">
            <v>Diario</v>
          </cell>
          <cell r="G6">
            <v>0</v>
          </cell>
          <cell r="H6">
            <v>0</v>
          </cell>
          <cell r="I6" t="str">
            <v>Corto Plazo</v>
          </cell>
          <cell r="J6" t="str">
            <v>Anualizado Compuesto</v>
          </cell>
          <cell r="K6">
            <v>0</v>
          </cell>
          <cell r="L6" t="str">
            <v>HR AAA / 1CP</v>
          </cell>
          <cell r="M6" t="str">
            <v>Deuda</v>
          </cell>
          <cell r="N6" t="str">
            <v>T</v>
          </cell>
          <cell r="O6" t="str">
            <v>Corto Plazo</v>
          </cell>
        </row>
        <row r="7">
          <cell r="B7" t="str">
            <v>MVJER A</v>
          </cell>
          <cell r="C7">
            <v>0.5625</v>
          </cell>
          <cell r="D7" t="str">
            <v>Mismo día</v>
          </cell>
          <cell r="E7" t="str">
            <v>Mismo día</v>
          </cell>
          <cell r="F7" t="str">
            <v>Diario</v>
          </cell>
          <cell r="G7" t="str">
            <v>Capital Fijo</v>
          </cell>
          <cell r="H7">
            <v>0</v>
          </cell>
          <cell r="I7" t="str">
            <v>Corto Plazo</v>
          </cell>
          <cell r="J7" t="str">
            <v>Anualizado Compuesto</v>
          </cell>
          <cell r="K7">
            <v>9.9999999999999985E-3</v>
          </cell>
          <cell r="L7" t="str">
            <v>HR AAA / 1CP</v>
          </cell>
          <cell r="M7" t="str">
            <v>Deuda</v>
          </cell>
          <cell r="N7" t="str">
            <v>T</v>
          </cell>
          <cell r="O7" t="str">
            <v>Corto Plazo</v>
          </cell>
          <cell r="P7">
            <v>1.0272792246062635E-2</v>
          </cell>
        </row>
        <row r="8">
          <cell r="B8" t="str">
            <v>MVJER BE-1</v>
          </cell>
          <cell r="C8">
            <v>0.5625</v>
          </cell>
          <cell r="D8" t="str">
            <v>Mismo día</v>
          </cell>
          <cell r="E8" t="str">
            <v>Mismo día</v>
          </cell>
          <cell r="F8" t="str">
            <v>Diario</v>
          </cell>
          <cell r="G8" t="str">
            <v>Personas morales no sujetas a retención del ISR</v>
          </cell>
          <cell r="H8" t="str">
            <v>Una acción</v>
          </cell>
          <cell r="I8" t="str">
            <v>Corto Plazo</v>
          </cell>
          <cell r="J8" t="str">
            <v>Anualizado Compuesto</v>
          </cell>
          <cell r="K8">
            <v>7.4999999999999997E-3</v>
          </cell>
          <cell r="L8" t="str">
            <v>HR AAA / 1CP</v>
          </cell>
          <cell r="M8" t="str">
            <v>Deuda</v>
          </cell>
          <cell r="N8" t="str">
            <v>T</v>
          </cell>
          <cell r="O8" t="str">
            <v>Corto Plazo</v>
          </cell>
          <cell r="P8">
            <v>7.7727922460626379E-3</v>
          </cell>
        </row>
        <row r="9">
          <cell r="B9" t="str">
            <v>MVJER BF-1</v>
          </cell>
          <cell r="C9">
            <v>0.5625</v>
          </cell>
          <cell r="D9" t="str">
            <v>Mismo día</v>
          </cell>
          <cell r="E9" t="str">
            <v>Mismo día</v>
          </cell>
          <cell r="F9" t="str">
            <v>Diario</v>
          </cell>
          <cell r="G9" t="str">
            <v>Personas físicas mexicanas</v>
          </cell>
          <cell r="H9" t="str">
            <v>Una acción</v>
          </cell>
          <cell r="I9" t="str">
            <v>Corto Plazo</v>
          </cell>
          <cell r="J9" t="str">
            <v>Anualizado Compuesto</v>
          </cell>
          <cell r="K9">
            <v>1.5000000000000001E-2</v>
          </cell>
          <cell r="L9" t="str">
            <v>HR AAA / 1CP</v>
          </cell>
          <cell r="M9" t="str">
            <v>Deuda</v>
          </cell>
          <cell r="N9" t="str">
            <v>T</v>
          </cell>
          <cell r="O9" t="str">
            <v>Corto Plazo</v>
          </cell>
          <cell r="P9">
            <v>1.5272792246062638E-2</v>
          </cell>
        </row>
        <row r="10">
          <cell r="B10" t="str">
            <v>MVJER BF-14</v>
          </cell>
          <cell r="C10">
            <v>0.5625</v>
          </cell>
          <cell r="D10" t="str">
            <v>Mismo día</v>
          </cell>
          <cell r="E10" t="str">
            <v>Mismo día</v>
          </cell>
          <cell r="F10" t="str">
            <v>Quincenal, en jueves</v>
          </cell>
          <cell r="G10" t="str">
            <v>Personas físicas mexicanas</v>
          </cell>
          <cell r="H10" t="str">
            <v>Una acción</v>
          </cell>
          <cell r="I10" t="str">
            <v>Corto Plazo</v>
          </cell>
          <cell r="J10" t="str">
            <v>Anualizado Compuesto</v>
          </cell>
          <cell r="K10">
            <v>9.9999999999999985E-3</v>
          </cell>
          <cell r="L10" t="str">
            <v>HR AAA / 1CP</v>
          </cell>
          <cell r="M10" t="str">
            <v>Deuda</v>
          </cell>
          <cell r="N10" t="str">
            <v>T</v>
          </cell>
          <cell r="O10" t="str">
            <v>Corto Plazo</v>
          </cell>
          <cell r="P10">
            <v>1.0272792246062635E-2</v>
          </cell>
        </row>
        <row r="11">
          <cell r="B11" t="str">
            <v>MVJER BF-28</v>
          </cell>
          <cell r="C11">
            <v>0.5625</v>
          </cell>
          <cell r="D11" t="str">
            <v>Mismo día</v>
          </cell>
          <cell r="E11" t="str">
            <v>Mismo día</v>
          </cell>
          <cell r="F11" t="str">
            <v>Mensual, último jueves de cada mes</v>
          </cell>
          <cell r="G11" t="str">
            <v>Personas físicas mexicanas</v>
          </cell>
          <cell r="H11" t="str">
            <v>Una acción</v>
          </cell>
          <cell r="I11" t="str">
            <v>Corto Plazo</v>
          </cell>
          <cell r="J11" t="str">
            <v>Anualizado Compuesto</v>
          </cell>
          <cell r="K11">
            <v>7.4999999999999997E-3</v>
          </cell>
          <cell r="L11" t="str">
            <v>HR AAA / 1CP</v>
          </cell>
          <cell r="M11" t="str">
            <v>Deuda</v>
          </cell>
          <cell r="N11" t="str">
            <v>T</v>
          </cell>
          <cell r="O11" t="str">
            <v>Corto Plazo</v>
          </cell>
          <cell r="P11">
            <v>7.7727922460626379E-3</v>
          </cell>
        </row>
        <row r="12">
          <cell r="B12" t="str">
            <v>MVJER BF-7</v>
          </cell>
          <cell r="C12">
            <v>0.5625</v>
          </cell>
          <cell r="D12" t="str">
            <v>Mismo día</v>
          </cell>
          <cell r="E12" t="str">
            <v>Mismo día</v>
          </cell>
          <cell r="F12" t="str">
            <v>Semanal, en Jueves</v>
          </cell>
          <cell r="G12" t="str">
            <v>Personas físicas mexicanas</v>
          </cell>
          <cell r="H12" t="str">
            <v>Una acción</v>
          </cell>
          <cell r="I12" t="str">
            <v>Corto Plazo</v>
          </cell>
          <cell r="J12" t="str">
            <v>Anualizado Compuesto</v>
          </cell>
          <cell r="K12">
            <v>1.2500000000000001E-2</v>
          </cell>
          <cell r="L12" t="str">
            <v>HR AAA / 1CP</v>
          </cell>
          <cell r="M12" t="str">
            <v>Deuda</v>
          </cell>
          <cell r="N12" t="str">
            <v>T</v>
          </cell>
          <cell r="O12" t="str">
            <v>Corto Plazo</v>
          </cell>
          <cell r="P12">
            <v>1.2772792246062637E-2</v>
          </cell>
        </row>
        <row r="13">
          <cell r="B13" t="str">
            <v>MVJER BF-F</v>
          </cell>
          <cell r="C13">
            <v>0.5625</v>
          </cell>
          <cell r="D13" t="str">
            <v>Mismo día</v>
          </cell>
          <cell r="E13" t="str">
            <v>Mismo día</v>
          </cell>
          <cell r="F13" t="str">
            <v>Diario</v>
          </cell>
          <cell r="G13" t="str">
            <v>Fondos de Fondos</v>
          </cell>
          <cell r="H13" t="str">
            <v>Una acción</v>
          </cell>
          <cell r="I13" t="str">
            <v>Corto Plazo</v>
          </cell>
          <cell r="J13" t="str">
            <v>Anualizado Compuesto</v>
          </cell>
          <cell r="K13">
            <v>5.0000000000000001E-4</v>
          </cell>
          <cell r="L13" t="str">
            <v>HR AAA / 1CP</v>
          </cell>
          <cell r="M13" t="str">
            <v>Deuda</v>
          </cell>
          <cell r="N13" t="str">
            <v>T</v>
          </cell>
          <cell r="O13" t="str">
            <v>Corto Plazo</v>
          </cell>
          <cell r="P13">
            <v>7.7279224606263805E-4</v>
          </cell>
        </row>
        <row r="14">
          <cell r="B14" t="str">
            <v>MVJER BF-H</v>
          </cell>
          <cell r="C14">
            <v>0.5625</v>
          </cell>
          <cell r="D14" t="str">
            <v>Mismo día</v>
          </cell>
          <cell r="E14" t="str">
            <v>Mismo día</v>
          </cell>
          <cell r="F14" t="str">
            <v>Diario</v>
          </cell>
          <cell r="G14" t="str">
            <v>Empleados, directivos, consejeros o jubilados de todas las entidades que formen parte del grupo financiero o empresarial al que pertenece la sociedad operadora.</v>
          </cell>
          <cell r="H14" t="str">
            <v>Una acción</v>
          </cell>
          <cell r="I14" t="str">
            <v>Corto Plazo</v>
          </cell>
          <cell r="J14" t="str">
            <v>Anualizado Compuesto</v>
          </cell>
          <cell r="K14">
            <v>2.5000000000000001E-3</v>
          </cell>
          <cell r="L14" t="str">
            <v>HR AAA / 1CP</v>
          </cell>
          <cell r="M14" t="str">
            <v>Deuda</v>
          </cell>
          <cell r="N14" t="str">
            <v>T</v>
          </cell>
          <cell r="O14" t="str">
            <v>Corto Plazo</v>
          </cell>
          <cell r="P14">
            <v>2.7727922460626378E-3</v>
          </cell>
        </row>
        <row r="15">
          <cell r="B15" t="str">
            <v>MVJER BF-T</v>
          </cell>
          <cell r="C15">
            <v>0.5625</v>
          </cell>
          <cell r="D15" t="str">
            <v>Mismo día</v>
          </cell>
          <cell r="E15" t="str">
            <v>Mismo día</v>
          </cell>
          <cell r="F15" t="str">
            <v>Diario</v>
          </cell>
          <cell r="G15" t="str">
            <v>Personas físicas extranjeras</v>
          </cell>
          <cell r="H15" t="str">
            <v>Una acción</v>
          </cell>
          <cell r="I15" t="str">
            <v>Corto Plazo</v>
          </cell>
          <cell r="J15" t="str">
            <v>Anualizado Compuesto</v>
          </cell>
          <cell r="K15">
            <v>1.5000000000000001E-2</v>
          </cell>
          <cell r="L15" t="str">
            <v>HR AAA / 1CP</v>
          </cell>
          <cell r="M15" t="str">
            <v>Deuda</v>
          </cell>
          <cell r="N15" t="str">
            <v>T</v>
          </cell>
          <cell r="O15" t="str">
            <v>Corto Plazo</v>
          </cell>
          <cell r="P15">
            <v>1.5272792246062638E-2</v>
          </cell>
        </row>
        <row r="16">
          <cell r="B16" t="str">
            <v>MVJER BF-T28</v>
          </cell>
          <cell r="C16">
            <v>0.5625</v>
          </cell>
          <cell r="D16" t="str">
            <v>Mismo día</v>
          </cell>
          <cell r="E16" t="str">
            <v>Mismo día</v>
          </cell>
          <cell r="F16" t="str">
            <v>Mensual, último jueves de cada mes</v>
          </cell>
          <cell r="G16" t="str">
            <v>Personas físicas extranjeras</v>
          </cell>
          <cell r="H16" t="str">
            <v>Una acción</v>
          </cell>
          <cell r="I16" t="str">
            <v>Corto Plazo</v>
          </cell>
          <cell r="J16" t="str">
            <v>Anualizado Compuesto</v>
          </cell>
          <cell r="K16">
            <v>7.4999999999999997E-3</v>
          </cell>
          <cell r="L16" t="str">
            <v>HR AAA / 1CP</v>
          </cell>
          <cell r="M16" t="str">
            <v>Deuda</v>
          </cell>
          <cell r="N16" t="str">
            <v>T</v>
          </cell>
          <cell r="O16" t="str">
            <v>Corto Plazo</v>
          </cell>
          <cell r="P16">
            <v>7.7727922460626379E-3</v>
          </cell>
        </row>
        <row r="17">
          <cell r="B17" t="str">
            <v>MVJER BM-1</v>
          </cell>
          <cell r="C17">
            <v>0.5625</v>
          </cell>
          <cell r="D17" t="str">
            <v>Mismo día</v>
          </cell>
          <cell r="E17" t="str">
            <v>Mismo día</v>
          </cell>
          <cell r="F17" t="str">
            <v>Diario</v>
          </cell>
          <cell r="G17" t="str">
            <v>Personas morales mexicanas</v>
          </cell>
          <cell r="H17" t="str">
            <v>Una acción</v>
          </cell>
          <cell r="I17" t="str">
            <v>Corto Plazo</v>
          </cell>
          <cell r="J17" t="str">
            <v>Anualizado Compuesto</v>
          </cell>
          <cell r="K17">
            <v>7.4999999999999997E-3</v>
          </cell>
          <cell r="L17" t="str">
            <v>HR AAA / 1CP</v>
          </cell>
          <cell r="M17" t="str">
            <v>Deuda</v>
          </cell>
          <cell r="N17" t="str">
            <v>T</v>
          </cell>
          <cell r="O17" t="str">
            <v>Corto Plazo</v>
          </cell>
          <cell r="P17">
            <v>7.7727922460626379E-3</v>
          </cell>
        </row>
        <row r="18">
          <cell r="B18" t="str">
            <v>MVJER BM-T</v>
          </cell>
          <cell r="C18">
            <v>0.5625</v>
          </cell>
          <cell r="D18" t="str">
            <v>Mismo día</v>
          </cell>
          <cell r="E18" t="str">
            <v>Mismo día</v>
          </cell>
          <cell r="F18" t="str">
            <v>Diario</v>
          </cell>
          <cell r="G18" t="str">
            <v>Personas morales extranjeras</v>
          </cell>
          <cell r="H18" t="str">
            <v>Una acción</v>
          </cell>
          <cell r="I18" t="str">
            <v>Corto Plazo</v>
          </cell>
          <cell r="J18" t="str">
            <v>Anualizado Compuesto</v>
          </cell>
          <cell r="K18">
            <v>7.4999999999999997E-3</v>
          </cell>
          <cell r="L18" t="str">
            <v>HR AAA / 1CP</v>
          </cell>
          <cell r="M18" t="str">
            <v>Deuda</v>
          </cell>
          <cell r="N18" t="str">
            <v>T</v>
          </cell>
          <cell r="O18" t="str">
            <v>Corto Plazo</v>
          </cell>
          <cell r="P18">
            <v>7.7727922460626379E-3</v>
          </cell>
        </row>
        <row r="19">
          <cell r="B19"/>
          <cell r="C19"/>
          <cell r="D19"/>
          <cell r="E19"/>
          <cell r="F19"/>
          <cell r="G19"/>
          <cell r="H19"/>
          <cell r="I19"/>
          <cell r="J19"/>
          <cell r="K19"/>
          <cell r="L19"/>
          <cell r="M19"/>
          <cell r="N19"/>
          <cell r="O19"/>
          <cell r="P19"/>
        </row>
        <row r="20">
          <cell r="B20" t="str">
            <v>MULTISI</v>
          </cell>
          <cell r="C20">
            <v>0.5625</v>
          </cell>
          <cell r="D20" t="str">
            <v>Mismo día</v>
          </cell>
          <cell r="E20" t="str">
            <v>Mismo día</v>
          </cell>
          <cell r="F20" t="str">
            <v>Diario</v>
          </cell>
          <cell r="G20">
            <v>0</v>
          </cell>
          <cell r="H20">
            <v>0</v>
          </cell>
          <cell r="I20" t="str">
            <v>Corto Plazo</v>
          </cell>
          <cell r="J20" t="str">
            <v>Anualizado Compuesto</v>
          </cell>
          <cell r="K20">
            <v>0</v>
          </cell>
          <cell r="L20" t="str">
            <v>HR AAA / 1CP</v>
          </cell>
          <cell r="M20" t="str">
            <v>Deuda</v>
          </cell>
          <cell r="N20" t="str">
            <v>T</v>
          </cell>
          <cell r="O20" t="str">
            <v>Corto Plazo</v>
          </cell>
          <cell r="P20"/>
        </row>
        <row r="21">
          <cell r="B21" t="str">
            <v>MULTISI A</v>
          </cell>
          <cell r="C21">
            <v>0.5625</v>
          </cell>
          <cell r="D21" t="str">
            <v>Mismo día</v>
          </cell>
          <cell r="E21" t="str">
            <v>Mismo día</v>
          </cell>
          <cell r="F21" t="str">
            <v>Diario</v>
          </cell>
          <cell r="G21" t="str">
            <v>Capital Fijo</v>
          </cell>
          <cell r="H21">
            <v>0</v>
          </cell>
          <cell r="I21" t="str">
            <v>Corto Plazo</v>
          </cell>
          <cell r="J21" t="str">
            <v>Anualizado Compuesto</v>
          </cell>
          <cell r="K21">
            <v>1.9999999999999997E-2</v>
          </cell>
          <cell r="L21" t="str">
            <v>HR AAA / 1CP</v>
          </cell>
          <cell r="M21" t="str">
            <v>Deuda</v>
          </cell>
          <cell r="N21" t="str">
            <v>T</v>
          </cell>
          <cell r="O21" t="str">
            <v>Corto Plazo</v>
          </cell>
          <cell r="P21">
            <v>2.0275053467502243E-2</v>
          </cell>
        </row>
        <row r="22">
          <cell r="B22" t="str">
            <v>MULTISI BE-1</v>
          </cell>
          <cell r="C22">
            <v>0.5625</v>
          </cell>
          <cell r="D22" t="str">
            <v>Mismo día</v>
          </cell>
          <cell r="E22" t="str">
            <v>Mismo día</v>
          </cell>
          <cell r="F22" t="str">
            <v>Diario</v>
          </cell>
          <cell r="G22" t="str">
            <v>Personas morales no sujetas a retención del ISR</v>
          </cell>
          <cell r="H22" t="str">
            <v>Una acción</v>
          </cell>
          <cell r="I22" t="str">
            <v>Corto Plazo</v>
          </cell>
          <cell r="J22" t="str">
            <v>Anualizado Compuesto</v>
          </cell>
          <cell r="K22">
            <v>1.2500000000000001E-2</v>
          </cell>
          <cell r="L22" t="str">
            <v>HR AAA / 1CP</v>
          </cell>
          <cell r="M22" t="str">
            <v>Deuda</v>
          </cell>
          <cell r="N22" t="str">
            <v>T</v>
          </cell>
          <cell r="O22" t="str">
            <v>Corto Plazo</v>
          </cell>
          <cell r="P22">
            <v>1.2775053467502247E-2</v>
          </cell>
        </row>
        <row r="23">
          <cell r="B23" t="str">
            <v>MULTISI BE-2</v>
          </cell>
          <cell r="C23">
            <v>0.5625</v>
          </cell>
          <cell r="D23" t="str">
            <v>Mismo día</v>
          </cell>
          <cell r="E23" t="str">
            <v>Mismo día</v>
          </cell>
          <cell r="F23" t="str">
            <v>Diario</v>
          </cell>
          <cell r="G23" t="str">
            <v>Personas morales no sujetas a retención del ISR</v>
          </cell>
          <cell r="H23">
            <v>3000000</v>
          </cell>
          <cell r="I23" t="str">
            <v>Corto Plazo</v>
          </cell>
          <cell r="J23" t="str">
            <v>Anualizado Compuesto</v>
          </cell>
          <cell r="K23">
            <v>9.9999999999999985E-3</v>
          </cell>
          <cell r="L23" t="str">
            <v>HR AAA / 1CP</v>
          </cell>
          <cell r="M23" t="str">
            <v>Deuda</v>
          </cell>
          <cell r="N23" t="str">
            <v>T</v>
          </cell>
          <cell r="O23" t="str">
            <v>Corto Plazo</v>
          </cell>
          <cell r="P23">
            <v>1.0275053467502245E-2</v>
          </cell>
        </row>
        <row r="24">
          <cell r="B24" t="str">
            <v>MULTISI BF-1</v>
          </cell>
          <cell r="C24">
            <v>0.5625</v>
          </cell>
          <cell r="D24" t="str">
            <v>Mismo día</v>
          </cell>
          <cell r="E24" t="str">
            <v>Mismo día</v>
          </cell>
          <cell r="F24" t="str">
            <v>Diario</v>
          </cell>
          <cell r="G24" t="str">
            <v>Personas físicas mexicanas</v>
          </cell>
          <cell r="H24" t="str">
            <v>Una acción</v>
          </cell>
          <cell r="I24" t="str">
            <v>Corto Plazo</v>
          </cell>
          <cell r="J24" t="str">
            <v>Anualizado Compuesto</v>
          </cell>
          <cell r="K24">
            <v>1.9999999999999997E-2</v>
          </cell>
          <cell r="L24" t="str">
            <v>HR AAA / 1CP</v>
          </cell>
          <cell r="M24" t="str">
            <v>Deuda</v>
          </cell>
          <cell r="N24" t="str">
            <v>T</v>
          </cell>
          <cell r="O24" t="str">
            <v>Corto Plazo</v>
          </cell>
          <cell r="P24">
            <v>2.0275053467502243E-2</v>
          </cell>
        </row>
        <row r="25">
          <cell r="B25" t="str">
            <v>MULTISI BF-2</v>
          </cell>
          <cell r="C25">
            <v>0.5625</v>
          </cell>
          <cell r="D25" t="str">
            <v>Mismo día</v>
          </cell>
          <cell r="E25" t="str">
            <v>Mismo día</v>
          </cell>
          <cell r="F25" t="str">
            <v>Diario</v>
          </cell>
          <cell r="G25" t="str">
            <v>Personas físicas mexicanas</v>
          </cell>
          <cell r="H25">
            <v>3000000</v>
          </cell>
          <cell r="I25" t="str">
            <v>Corto Plazo</v>
          </cell>
          <cell r="J25" t="str">
            <v>Anualizado Compuesto</v>
          </cell>
          <cell r="K25">
            <v>1.5000000000000001E-2</v>
          </cell>
          <cell r="L25" t="str">
            <v>HR AAA / 1CP</v>
          </cell>
          <cell r="M25" t="str">
            <v>Deuda</v>
          </cell>
          <cell r="N25" t="str">
            <v>T</v>
          </cell>
          <cell r="O25" t="str">
            <v>Corto Plazo</v>
          </cell>
          <cell r="P25">
            <v>1.5275053467502247E-2</v>
          </cell>
        </row>
        <row r="26">
          <cell r="B26" t="str">
            <v>MULTISI BF-F</v>
          </cell>
          <cell r="C26">
            <v>0.5625</v>
          </cell>
          <cell r="D26" t="str">
            <v>Mismo día</v>
          </cell>
          <cell r="E26" t="str">
            <v>Mismo día</v>
          </cell>
          <cell r="F26" t="str">
            <v>Diario</v>
          </cell>
          <cell r="G26" t="str">
            <v>Fondos de Fondos</v>
          </cell>
          <cell r="H26" t="str">
            <v>Una acción</v>
          </cell>
          <cell r="I26" t="str">
            <v>Corto Plazo</v>
          </cell>
          <cell r="J26" t="str">
            <v>Anualizado Compuesto</v>
          </cell>
          <cell r="K26">
            <v>5.0000000000000001E-4</v>
          </cell>
          <cell r="L26" t="str">
            <v>HR AAA / 1CP</v>
          </cell>
          <cell r="M26" t="str">
            <v>Deuda</v>
          </cell>
          <cell r="N26" t="str">
            <v>T</v>
          </cell>
          <cell r="O26" t="str">
            <v>Corto Plazo</v>
          </cell>
          <cell r="P26">
            <v>7.750534675022479E-4</v>
          </cell>
        </row>
        <row r="27">
          <cell r="B27" t="str">
            <v>MULTISI BF-H</v>
          </cell>
          <cell r="C27">
            <v>0.5625</v>
          </cell>
          <cell r="D27" t="str">
            <v>Mismo día</v>
          </cell>
          <cell r="E27" t="str">
            <v>Mismo día</v>
          </cell>
          <cell r="F27" t="str">
            <v>Diario</v>
          </cell>
          <cell r="G27" t="str">
            <v>Empleados, directivos, consejeros o jubilados de todas las entidades que formen parte del grupo financiero o empresarial al que pertenece la sociedad operadora.</v>
          </cell>
          <cell r="H27" t="str">
            <v>Una acción</v>
          </cell>
          <cell r="I27" t="str">
            <v>Corto Plazo</v>
          </cell>
          <cell r="J27" t="str">
            <v>Anualizado Compuesto</v>
          </cell>
          <cell r="K27">
            <v>2.5000000000000001E-3</v>
          </cell>
          <cell r="L27" t="str">
            <v>HR AAA / 1CP</v>
          </cell>
          <cell r="M27" t="str">
            <v>Deuda</v>
          </cell>
          <cell r="N27" t="str">
            <v>T</v>
          </cell>
          <cell r="O27" t="str">
            <v>Corto Plazo</v>
          </cell>
          <cell r="P27">
            <v>2.7750534675022474E-3</v>
          </cell>
        </row>
        <row r="28">
          <cell r="B28" t="str">
            <v>MULTISI BF-T</v>
          </cell>
          <cell r="C28">
            <v>0.5625</v>
          </cell>
          <cell r="D28" t="str">
            <v>Mismo día</v>
          </cell>
          <cell r="E28" t="str">
            <v>Mismo día</v>
          </cell>
          <cell r="F28" t="str">
            <v>Diario</v>
          </cell>
          <cell r="G28" t="str">
            <v>Personas físicas extranjeras</v>
          </cell>
          <cell r="H28" t="str">
            <v>Una acción</v>
          </cell>
          <cell r="I28" t="str">
            <v>Corto Plazo</v>
          </cell>
          <cell r="J28" t="str">
            <v>Anualizado Compuesto</v>
          </cell>
          <cell r="K28">
            <v>1.2500000000000001E-2</v>
          </cell>
          <cell r="L28" t="str">
            <v>HR AAA / 1CP</v>
          </cell>
          <cell r="M28" t="str">
            <v>Deuda</v>
          </cell>
          <cell r="N28" t="str">
            <v>T</v>
          </cell>
          <cell r="O28" t="str">
            <v>Corto Plazo</v>
          </cell>
          <cell r="P28">
            <v>1.2775053467502247E-2</v>
          </cell>
        </row>
        <row r="29">
          <cell r="B29" t="str">
            <v>MULTISI BM-1</v>
          </cell>
          <cell r="C29">
            <v>0.5625</v>
          </cell>
          <cell r="D29" t="str">
            <v>Mismo día</v>
          </cell>
          <cell r="E29" t="str">
            <v>Mismo día</v>
          </cell>
          <cell r="F29" t="str">
            <v>Diario</v>
          </cell>
          <cell r="G29" t="str">
            <v>Personas morales mexicanas</v>
          </cell>
          <cell r="H29" t="str">
            <v>Una acción</v>
          </cell>
          <cell r="I29" t="str">
            <v>Corto Plazo</v>
          </cell>
          <cell r="J29" t="str">
            <v>Anualizado Compuesto</v>
          </cell>
          <cell r="K29">
            <v>1.7500000000000002E-2</v>
          </cell>
          <cell r="L29" t="str">
            <v>HR AAA / 1CP</v>
          </cell>
          <cell r="M29" t="str">
            <v>Deuda</v>
          </cell>
          <cell r="N29" t="str">
            <v>T</v>
          </cell>
          <cell r="O29" t="str">
            <v>Corto Plazo</v>
          </cell>
          <cell r="P29">
            <v>1.7775053467502248E-2</v>
          </cell>
        </row>
        <row r="30">
          <cell r="B30" t="str">
            <v>MULTISI BM-2</v>
          </cell>
          <cell r="C30">
            <v>0.5625</v>
          </cell>
          <cell r="D30" t="str">
            <v>Mismo día</v>
          </cell>
          <cell r="E30" t="str">
            <v>Mismo día</v>
          </cell>
          <cell r="F30" t="str">
            <v>Diario</v>
          </cell>
          <cell r="G30" t="str">
            <v>Personas morales mexicanas</v>
          </cell>
          <cell r="H30">
            <v>3000000</v>
          </cell>
          <cell r="I30" t="str">
            <v>Corto Plazo</v>
          </cell>
          <cell r="J30" t="str">
            <v>Anualizado Compuesto</v>
          </cell>
          <cell r="K30">
            <v>9.9999999999999985E-3</v>
          </cell>
          <cell r="L30" t="str">
            <v>HR AAA / 1CP</v>
          </cell>
          <cell r="M30" t="str">
            <v>Deuda</v>
          </cell>
          <cell r="N30" t="str">
            <v>T</v>
          </cell>
          <cell r="O30" t="str">
            <v>Corto Plazo</v>
          </cell>
          <cell r="P30">
            <v>1.0275053467502245E-2</v>
          </cell>
        </row>
        <row r="31">
          <cell r="B31" t="str">
            <v>MULTISI BM-T</v>
          </cell>
          <cell r="C31">
            <v>0.5625</v>
          </cell>
          <cell r="D31" t="str">
            <v>Mismo día</v>
          </cell>
          <cell r="E31" t="str">
            <v>Mismo día</v>
          </cell>
          <cell r="F31" t="str">
            <v>Diario</v>
          </cell>
          <cell r="G31" t="str">
            <v>Personas morales extranjeras</v>
          </cell>
          <cell r="H31" t="str">
            <v>Una acción</v>
          </cell>
          <cell r="I31" t="str">
            <v>Corto Plazo</v>
          </cell>
          <cell r="J31" t="str">
            <v>Anualizado Compuesto</v>
          </cell>
          <cell r="K31">
            <v>1.38E-2</v>
          </cell>
          <cell r="L31" t="str">
            <v>HR AAA / 1CP</v>
          </cell>
          <cell r="M31" t="str">
            <v>Deuda</v>
          </cell>
          <cell r="N31" t="str">
            <v>T</v>
          </cell>
          <cell r="O31" t="str">
            <v>Corto Plazo</v>
          </cell>
          <cell r="P31">
            <v>1.4075053467502246E-2</v>
          </cell>
        </row>
        <row r="32">
          <cell r="B32"/>
          <cell r="C32"/>
          <cell r="D32"/>
          <cell r="E32"/>
          <cell r="F32"/>
          <cell r="G32"/>
          <cell r="H32"/>
          <cell r="I32"/>
          <cell r="J32"/>
          <cell r="K32"/>
          <cell r="L32"/>
          <cell r="M32"/>
          <cell r="N32"/>
          <cell r="O32"/>
          <cell r="P32"/>
        </row>
        <row r="33">
          <cell r="B33" t="str">
            <v>MULTIRE</v>
          </cell>
          <cell r="C33">
            <v>0.5625</v>
          </cell>
          <cell r="D33" t="str">
            <v>Mismo día</v>
          </cell>
          <cell r="E33" t="str">
            <v>Mismo día</v>
          </cell>
          <cell r="F33" t="str">
            <v>Diario</v>
          </cell>
          <cell r="G33">
            <v>0</v>
          </cell>
          <cell r="H33">
            <v>0</v>
          </cell>
          <cell r="I33" t="str">
            <v>Corto Plazo</v>
          </cell>
          <cell r="J33" t="str">
            <v>Anualizado Compuesto</v>
          </cell>
          <cell r="K33">
            <v>0</v>
          </cell>
          <cell r="L33" t="str">
            <v>HR AAA / 1CP</v>
          </cell>
          <cell r="M33" t="str">
            <v>Deuda</v>
          </cell>
          <cell r="N33" t="str">
            <v>T</v>
          </cell>
          <cell r="O33" t="str">
            <v>Corto Plazo Gubernamental</v>
          </cell>
          <cell r="P33"/>
        </row>
        <row r="34">
          <cell r="B34" t="str">
            <v>MULTIRE A</v>
          </cell>
          <cell r="C34">
            <v>0.5625</v>
          </cell>
          <cell r="D34" t="str">
            <v>Mismo día</v>
          </cell>
          <cell r="E34" t="str">
            <v>Mismo día</v>
          </cell>
          <cell r="F34" t="str">
            <v>Diario</v>
          </cell>
          <cell r="G34" t="str">
            <v>Capital Fijo</v>
          </cell>
          <cell r="H34">
            <v>0</v>
          </cell>
          <cell r="I34" t="str">
            <v>Corto Plazo</v>
          </cell>
          <cell r="J34" t="str">
            <v>Anualizado Compuesto</v>
          </cell>
          <cell r="K34">
            <v>1.5000000000000001E-2</v>
          </cell>
          <cell r="L34" t="str">
            <v>HR AAA / 1CP</v>
          </cell>
          <cell r="M34" t="str">
            <v>Deuda</v>
          </cell>
          <cell r="N34" t="str">
            <v>T</v>
          </cell>
          <cell r="O34" t="str">
            <v>Corto Plazo Gubernamental</v>
          </cell>
          <cell r="P34">
            <v>1.5273392413767926E-2</v>
          </cell>
        </row>
        <row r="35">
          <cell r="B35" t="str">
            <v>MULTIRE BE-0</v>
          </cell>
          <cell r="C35">
            <v>0.5625</v>
          </cell>
          <cell r="D35" t="str">
            <v>Mismo día</v>
          </cell>
          <cell r="E35" t="str">
            <v>Mismo día</v>
          </cell>
          <cell r="F35" t="str">
            <v>Diario</v>
          </cell>
          <cell r="G35" t="str">
            <v>Personas morales no sujetas a retención del ISR</v>
          </cell>
          <cell r="H35">
            <v>1000000</v>
          </cell>
          <cell r="I35" t="str">
            <v>Corto Plazo</v>
          </cell>
          <cell r="J35" t="str">
            <v>Anualizado Compuesto</v>
          </cell>
          <cell r="K35">
            <v>2.5000000000000001E-2</v>
          </cell>
          <cell r="L35" t="str">
            <v>HR AAA / 1CP</v>
          </cell>
          <cell r="M35" t="str">
            <v>Deuda</v>
          </cell>
          <cell r="N35" t="str">
            <v>T</v>
          </cell>
          <cell r="O35" t="str">
            <v>Corto Plazo Gubernamental</v>
          </cell>
          <cell r="P35">
            <v>2.5273392413767925E-2</v>
          </cell>
        </row>
        <row r="36">
          <cell r="B36" t="str">
            <v>MULTIRE BE-1</v>
          </cell>
          <cell r="C36">
            <v>0.5625</v>
          </cell>
          <cell r="D36" t="str">
            <v>Mismo día</v>
          </cell>
          <cell r="E36" t="str">
            <v>Mismo día</v>
          </cell>
          <cell r="F36" t="str">
            <v>Diario</v>
          </cell>
          <cell r="G36" t="str">
            <v>Personas morales no sujetas a retención del ISR</v>
          </cell>
          <cell r="H36" t="str">
            <v>Una acción</v>
          </cell>
          <cell r="I36" t="str">
            <v>Corto Plazo</v>
          </cell>
          <cell r="J36" t="str">
            <v>Anualizado Compuesto</v>
          </cell>
          <cell r="K36">
            <v>1.5000000000000001E-2</v>
          </cell>
          <cell r="L36" t="str">
            <v>HR AAA / 1CP</v>
          </cell>
          <cell r="M36" t="str">
            <v>Deuda</v>
          </cell>
          <cell r="N36" t="str">
            <v>T</v>
          </cell>
          <cell r="O36" t="str">
            <v>Corto Plazo Gubernamental</v>
          </cell>
          <cell r="P36">
            <v>1.5273392413767926E-2</v>
          </cell>
        </row>
        <row r="37">
          <cell r="B37" t="str">
            <v>MULTIRE BE-2</v>
          </cell>
          <cell r="C37">
            <v>0.5625</v>
          </cell>
          <cell r="D37" t="str">
            <v>Mismo día</v>
          </cell>
          <cell r="E37" t="str">
            <v>Mismo día</v>
          </cell>
          <cell r="F37" t="str">
            <v>Diario</v>
          </cell>
          <cell r="G37" t="str">
            <v>Personas morales no sujetas a retención del ISR</v>
          </cell>
          <cell r="H37">
            <v>10000000</v>
          </cell>
          <cell r="I37" t="str">
            <v>Corto Plazo</v>
          </cell>
          <cell r="J37" t="str">
            <v>Anualizado Compuesto</v>
          </cell>
          <cell r="K37">
            <v>2.5000000000000001E-3</v>
          </cell>
          <cell r="L37" t="str">
            <v>HR AAA / 1CP</v>
          </cell>
          <cell r="M37" t="str">
            <v>Deuda</v>
          </cell>
          <cell r="N37" t="str">
            <v>T</v>
          </cell>
          <cell r="O37" t="str">
            <v>Corto Plazo Gubernamental</v>
          </cell>
          <cell r="P37">
            <v>2.7733924137679261E-3</v>
          </cell>
        </row>
        <row r="38">
          <cell r="B38" t="str">
            <v>MULTIRE BF-1</v>
          </cell>
          <cell r="C38">
            <v>0.5625</v>
          </cell>
          <cell r="D38" t="str">
            <v>Mismo día</v>
          </cell>
          <cell r="E38" t="str">
            <v>Mismo día</v>
          </cell>
          <cell r="F38" t="str">
            <v>Diario</v>
          </cell>
          <cell r="G38" t="str">
            <v>Personas físicas mexicanas</v>
          </cell>
          <cell r="H38" t="str">
            <v>Una acción</v>
          </cell>
          <cell r="I38" t="str">
            <v>Corto Plazo</v>
          </cell>
          <cell r="J38" t="str">
            <v>Anualizado Compuesto</v>
          </cell>
          <cell r="K38">
            <v>1.5000000000000001E-2</v>
          </cell>
          <cell r="L38" t="str">
            <v>HR AAA / 1CP</v>
          </cell>
          <cell r="M38" t="str">
            <v>Deuda</v>
          </cell>
          <cell r="N38" t="str">
            <v>T</v>
          </cell>
          <cell r="O38" t="str">
            <v>Corto Plazo Gubernamental</v>
          </cell>
          <cell r="P38">
            <v>1.5273392413767926E-2</v>
          </cell>
        </row>
        <row r="39">
          <cell r="B39" t="str">
            <v>MULTIRE BF-F</v>
          </cell>
          <cell r="C39">
            <v>0.5625</v>
          </cell>
          <cell r="D39" t="str">
            <v>Mismo día</v>
          </cell>
          <cell r="E39" t="str">
            <v>Mismo día</v>
          </cell>
          <cell r="F39" t="str">
            <v>Diario</v>
          </cell>
          <cell r="G39" t="str">
            <v>Fondos de Fondos</v>
          </cell>
          <cell r="H39" t="str">
            <v>Una acción</v>
          </cell>
          <cell r="I39" t="str">
            <v>Corto Plazo</v>
          </cell>
          <cell r="J39" t="str">
            <v>Anualizado Compuesto</v>
          </cell>
          <cell r="K39">
            <v>5.0000000000000001E-4</v>
          </cell>
          <cell r="L39" t="str">
            <v>HR AAA / 1CP</v>
          </cell>
          <cell r="M39" t="str">
            <v>Deuda</v>
          </cell>
          <cell r="N39" t="str">
            <v>T</v>
          </cell>
          <cell r="O39" t="str">
            <v>Corto Plazo Gubernamental</v>
          </cell>
          <cell r="P39">
            <v>7.7339241376792641E-4</v>
          </cell>
        </row>
        <row r="40">
          <cell r="B40" t="str">
            <v>MULTIRE BF-H</v>
          </cell>
          <cell r="C40">
            <v>0.5625</v>
          </cell>
          <cell r="D40" t="str">
            <v>Mismo día</v>
          </cell>
          <cell r="E40" t="str">
            <v>Mismo día</v>
          </cell>
          <cell r="F40" t="str">
            <v>Diario</v>
          </cell>
          <cell r="G40" t="str">
            <v>Empleados, directivos, consejeros o jubilados de todas las entidades que formen parte del grupo financiero o empresarial al que pertenece la sociedad operadora.</v>
          </cell>
          <cell r="H40" t="str">
            <v>Una acción</v>
          </cell>
          <cell r="I40" t="str">
            <v>Corto Plazo</v>
          </cell>
          <cell r="J40" t="str">
            <v>Anualizado Compuesto</v>
          </cell>
          <cell r="K40">
            <v>2.5000000000000001E-3</v>
          </cell>
          <cell r="L40" t="str">
            <v>HR AAA / 1CP</v>
          </cell>
          <cell r="M40" t="str">
            <v>Deuda</v>
          </cell>
          <cell r="N40" t="str">
            <v>T</v>
          </cell>
          <cell r="O40" t="str">
            <v>Corto Plazo Gubernamental</v>
          </cell>
          <cell r="P40">
            <v>2.7733924137679261E-3</v>
          </cell>
        </row>
        <row r="41">
          <cell r="B41" t="str">
            <v>MULTIRE BF-T</v>
          </cell>
          <cell r="C41">
            <v>0.5625</v>
          </cell>
          <cell r="D41" t="str">
            <v>Mismo día</v>
          </cell>
          <cell r="E41" t="str">
            <v>Mismo día</v>
          </cell>
          <cell r="F41" t="str">
            <v>Diario</v>
          </cell>
          <cell r="G41" t="str">
            <v>Personas físicas extranjeras</v>
          </cell>
          <cell r="H41" t="str">
            <v>Una acción</v>
          </cell>
          <cell r="I41" t="str">
            <v>Corto Plazo</v>
          </cell>
          <cell r="J41" t="str">
            <v>Anualizado Compuesto</v>
          </cell>
          <cell r="K41">
            <v>1.5000000000000001E-2</v>
          </cell>
          <cell r="L41" t="str">
            <v>HR AAA / 1CP</v>
          </cell>
          <cell r="M41" t="str">
            <v>Deuda</v>
          </cell>
          <cell r="N41" t="str">
            <v>T</v>
          </cell>
          <cell r="O41" t="str">
            <v>Corto Plazo Gubernamental</v>
          </cell>
          <cell r="P41">
            <v>1.5273392413767926E-2</v>
          </cell>
        </row>
        <row r="42">
          <cell r="B42" t="str">
            <v>MULTIRE BM-1</v>
          </cell>
          <cell r="C42">
            <v>0.5625</v>
          </cell>
          <cell r="D42" t="str">
            <v>Mismo día</v>
          </cell>
          <cell r="E42" t="str">
            <v>Mismo día</v>
          </cell>
          <cell r="F42" t="str">
            <v>Diario</v>
          </cell>
          <cell r="G42" t="str">
            <v>Personas morales mexicanas</v>
          </cell>
          <cell r="H42" t="str">
            <v>Una acción</v>
          </cell>
          <cell r="I42" t="str">
            <v>Corto Plazo</v>
          </cell>
          <cell r="J42" t="str">
            <v>Anualizado Compuesto</v>
          </cell>
          <cell r="K42">
            <v>7.4999999999999997E-3</v>
          </cell>
          <cell r="L42" t="str">
            <v>HR AAA / 1CP</v>
          </cell>
          <cell r="M42" t="str">
            <v>Deuda</v>
          </cell>
          <cell r="N42" t="str">
            <v>T</v>
          </cell>
          <cell r="O42" t="str">
            <v>Corto Plazo Gubernamental</v>
          </cell>
          <cell r="P42">
            <v>7.7733924137679267E-3</v>
          </cell>
        </row>
        <row r="43">
          <cell r="B43" t="str">
            <v>MULTIRE BM-2</v>
          </cell>
          <cell r="C43">
            <v>0.5625</v>
          </cell>
          <cell r="D43" t="str">
            <v>Mismo día</v>
          </cell>
          <cell r="E43" t="str">
            <v>Mismo día</v>
          </cell>
          <cell r="F43" t="str">
            <v>Diario</v>
          </cell>
          <cell r="G43" t="str">
            <v>Personas morales mexicanas</v>
          </cell>
          <cell r="H43">
            <v>10000000</v>
          </cell>
          <cell r="I43" t="str">
            <v>Corto Plazo</v>
          </cell>
          <cell r="J43" t="str">
            <v>Anualizado Compuesto</v>
          </cell>
          <cell r="K43">
            <v>2.5000000000000001E-3</v>
          </cell>
          <cell r="L43" t="str">
            <v>HR AAA / 1CP</v>
          </cell>
          <cell r="M43" t="str">
            <v>Deuda</v>
          </cell>
          <cell r="N43" t="str">
            <v>T</v>
          </cell>
          <cell r="O43" t="str">
            <v>Corto Plazo Gubernamental</v>
          </cell>
          <cell r="P43">
            <v>2.7733924137679261E-3</v>
          </cell>
        </row>
        <row r="44">
          <cell r="B44" t="str">
            <v>MULTIRE BM-T</v>
          </cell>
          <cell r="C44">
            <v>0.5625</v>
          </cell>
          <cell r="D44" t="str">
            <v>Mismo día</v>
          </cell>
          <cell r="E44" t="str">
            <v>Mismo día</v>
          </cell>
          <cell r="F44" t="str">
            <v>Diario</v>
          </cell>
          <cell r="G44" t="str">
            <v>Personas morales extranjeras</v>
          </cell>
          <cell r="H44" t="str">
            <v>Una acción</v>
          </cell>
          <cell r="I44" t="str">
            <v>Corto Plazo</v>
          </cell>
          <cell r="J44" t="str">
            <v>Anualizado Compuesto</v>
          </cell>
          <cell r="K44">
            <v>7.4999999999999997E-3</v>
          </cell>
          <cell r="L44" t="str">
            <v>HR AAA / 1CP</v>
          </cell>
          <cell r="M44" t="str">
            <v>Deuda</v>
          </cell>
          <cell r="N44" t="str">
            <v>T</v>
          </cell>
          <cell r="O44" t="str">
            <v>Corto Plazo Gubernamental</v>
          </cell>
          <cell r="P44">
            <v>7.7733924137679267E-3</v>
          </cell>
        </row>
        <row r="45">
          <cell r="B45"/>
          <cell r="C45"/>
          <cell r="D45"/>
          <cell r="E45"/>
          <cell r="F45"/>
          <cell r="G45"/>
          <cell r="H45"/>
          <cell r="I45"/>
          <cell r="J45"/>
          <cell r="K45"/>
          <cell r="L45"/>
          <cell r="M45"/>
          <cell r="N45"/>
          <cell r="O45"/>
          <cell r="P45"/>
        </row>
        <row r="46">
          <cell r="B46" t="str">
            <v>MULTIAR</v>
          </cell>
          <cell r="C46">
            <v>0.5625</v>
          </cell>
          <cell r="D46" t="str">
            <v>24 hrs</v>
          </cell>
          <cell r="E46" t="str">
            <v>48 hrs</v>
          </cell>
          <cell r="F46" t="str">
            <v>Mensual, capturar el último martes de cada mes</v>
          </cell>
          <cell r="G46">
            <v>0</v>
          </cell>
          <cell r="H46">
            <v>0</v>
          </cell>
          <cell r="I46" t="str">
            <v>Largo Plazo</v>
          </cell>
          <cell r="J46" t="str">
            <v>Anualizado Compuesto</v>
          </cell>
          <cell r="K46">
            <v>0</v>
          </cell>
          <cell r="L46" t="str">
            <v>HR AA / 3LP</v>
          </cell>
          <cell r="M46" t="str">
            <v>Deuda</v>
          </cell>
          <cell r="N46" t="str">
            <v>T+1</v>
          </cell>
          <cell r="O46" t="str">
            <v>Largo Plazo</v>
          </cell>
        </row>
        <row r="47">
          <cell r="B47" t="str">
            <v>MULTIAR A</v>
          </cell>
          <cell r="C47">
            <v>0.5625</v>
          </cell>
          <cell r="D47" t="str">
            <v>24 hrs</v>
          </cell>
          <cell r="E47" t="str">
            <v>48 hrs</v>
          </cell>
          <cell r="F47" t="str">
            <v>Mensual, capturar el último martes de cada mes</v>
          </cell>
          <cell r="G47" t="str">
            <v>Capital Fijo</v>
          </cell>
          <cell r="H47">
            <v>0</v>
          </cell>
          <cell r="I47" t="str">
            <v>Largo Plazo</v>
          </cell>
          <cell r="J47" t="str">
            <v>Anualizado Compuesto</v>
          </cell>
          <cell r="K47">
            <v>1.2500000000000001E-2</v>
          </cell>
          <cell r="L47" t="str">
            <v>HR AA / 3LP</v>
          </cell>
          <cell r="M47" t="str">
            <v>Deuda</v>
          </cell>
          <cell r="N47" t="str">
            <v>T+1</v>
          </cell>
          <cell r="O47" t="str">
            <v>Largo Plazo</v>
          </cell>
          <cell r="P47">
            <v>1.3009699745488428E-2</v>
          </cell>
        </row>
        <row r="48">
          <cell r="B48" t="str">
            <v>MULTIAR BE-1</v>
          </cell>
          <cell r="C48">
            <v>0.5625</v>
          </cell>
          <cell r="D48" t="str">
            <v>24 hrs</v>
          </cell>
          <cell r="E48" t="str">
            <v>48 hrs</v>
          </cell>
          <cell r="F48" t="str">
            <v>Mensual, capturar el último martes de cada mes</v>
          </cell>
          <cell r="G48" t="str">
            <v>Personas morales no sujetas a retención del ISR</v>
          </cell>
          <cell r="H48" t="str">
            <v>Una acción</v>
          </cell>
          <cell r="I48" t="str">
            <v>Largo Plazo</v>
          </cell>
          <cell r="J48" t="str">
            <v>Anualizado Compuesto</v>
          </cell>
          <cell r="K48">
            <v>1.2500000000000001E-2</v>
          </cell>
          <cell r="L48" t="str">
            <v>HR AA / 3LP</v>
          </cell>
          <cell r="M48" t="str">
            <v>Deuda</v>
          </cell>
          <cell r="N48" t="str">
            <v>T+1</v>
          </cell>
          <cell r="O48" t="str">
            <v>Largo Plazo</v>
          </cell>
          <cell r="P48">
            <v>1.3009699745488428E-2</v>
          </cell>
        </row>
        <row r="49">
          <cell r="B49" t="str">
            <v>MULTIAR BF-1</v>
          </cell>
          <cell r="C49">
            <v>0.5625</v>
          </cell>
          <cell r="D49" t="str">
            <v>24 hrs</v>
          </cell>
          <cell r="E49" t="str">
            <v>48 hrs</v>
          </cell>
          <cell r="F49" t="str">
            <v>Mensual, capturar el último martes de cada mes</v>
          </cell>
          <cell r="G49" t="str">
            <v>Personas físicas mexicanas</v>
          </cell>
          <cell r="H49" t="str">
            <v>Una acción</v>
          </cell>
          <cell r="I49" t="str">
            <v>Largo Plazo</v>
          </cell>
          <cell r="J49" t="str">
            <v>Anualizado Compuesto</v>
          </cell>
          <cell r="K49">
            <v>1.2500000000000001E-2</v>
          </cell>
          <cell r="L49" t="str">
            <v>HR AA / 3LP</v>
          </cell>
          <cell r="M49" t="str">
            <v>Deuda</v>
          </cell>
          <cell r="N49" t="str">
            <v>T+1</v>
          </cell>
          <cell r="O49" t="str">
            <v>Largo Plazo</v>
          </cell>
          <cell r="P49">
            <v>1.3009699745488428E-2</v>
          </cell>
        </row>
        <row r="50">
          <cell r="B50" t="str">
            <v>MULTIAR BM-1</v>
          </cell>
          <cell r="C50">
            <v>0.5625</v>
          </cell>
          <cell r="D50" t="str">
            <v>24 hrs</v>
          </cell>
          <cell r="E50" t="str">
            <v>48 hrs</v>
          </cell>
          <cell r="F50" t="str">
            <v>Mensual, capturar el último martes de cada mes</v>
          </cell>
          <cell r="G50" t="str">
            <v>Personas morales mexicanas</v>
          </cell>
          <cell r="H50" t="str">
            <v>Una acción</v>
          </cell>
          <cell r="I50" t="str">
            <v>Largo Plazo</v>
          </cell>
          <cell r="J50" t="str">
            <v>Anualizado Compuesto</v>
          </cell>
          <cell r="K50">
            <v>1.2500000000000001E-2</v>
          </cell>
          <cell r="L50" t="str">
            <v>HR AA / 3LP</v>
          </cell>
          <cell r="M50" t="str">
            <v>Deuda</v>
          </cell>
          <cell r="N50" t="str">
            <v>T+1</v>
          </cell>
          <cell r="O50" t="str">
            <v>Largo Plazo</v>
          </cell>
          <cell r="P50">
            <v>1.3009699745488428E-2</v>
          </cell>
        </row>
        <row r="51">
          <cell r="B51" t="str">
            <v>MULTIAR BM-T</v>
          </cell>
          <cell r="C51">
            <v>0.5625</v>
          </cell>
          <cell r="D51" t="str">
            <v>24 hrs</v>
          </cell>
          <cell r="E51" t="str">
            <v>48 hrs</v>
          </cell>
          <cell r="F51" t="str">
            <v>Mensual, capturar el último martes de cada mes</v>
          </cell>
          <cell r="G51" t="str">
            <v>Personas morales extranjeras</v>
          </cell>
          <cell r="H51" t="str">
            <v>Una acción</v>
          </cell>
          <cell r="I51" t="str">
            <v>Largo Plazo</v>
          </cell>
          <cell r="J51" t="str">
            <v>Anualizado Compuesto</v>
          </cell>
          <cell r="K51">
            <v>1.2500000000000001E-2</v>
          </cell>
          <cell r="L51" t="str">
            <v>HR AA / 3LP</v>
          </cell>
          <cell r="M51" t="str">
            <v>Deuda</v>
          </cell>
          <cell r="N51" t="str">
            <v>T+1</v>
          </cell>
          <cell r="O51" t="str">
            <v>Largo Plazo</v>
          </cell>
          <cell r="P51">
            <v>1.3009699745488428E-2</v>
          </cell>
        </row>
        <row r="52">
          <cell r="B52" t="str">
            <v>MULTIAR BF-H</v>
          </cell>
          <cell r="C52">
            <v>0.5625</v>
          </cell>
          <cell r="D52" t="str">
            <v>24 hrs</v>
          </cell>
          <cell r="E52" t="str">
            <v>48 hrs</v>
          </cell>
          <cell r="F52" t="str">
            <v>Mensual, capturar el último martes de cada mes</v>
          </cell>
          <cell r="G52" t="str">
            <v>Empleados, directivos, consejeros o jubilados de todas las entidades que formen parte del grupo financiero o empresarial al que pertenece la sociedad operadora.</v>
          </cell>
          <cell r="H52" t="str">
            <v>Una acción</v>
          </cell>
          <cell r="I52" t="str">
            <v>Largo Plazo</v>
          </cell>
          <cell r="J52" t="str">
            <v>Anualizado Compuesto</v>
          </cell>
          <cell r="K52">
            <v>2.5000000000000001E-3</v>
          </cell>
          <cell r="L52" t="str">
            <v>HR AA / 3LP</v>
          </cell>
          <cell r="M52" t="str">
            <v>Deuda</v>
          </cell>
          <cell r="N52" t="str">
            <v>T+1</v>
          </cell>
          <cell r="O52" t="str">
            <v>Largo Plazo</v>
          </cell>
          <cell r="P52">
            <v>3.009699745488426E-3</v>
          </cell>
        </row>
        <row r="53">
          <cell r="B53" t="str">
            <v>MULTIAR BF-T</v>
          </cell>
          <cell r="C53">
            <v>0.5625</v>
          </cell>
          <cell r="D53" t="str">
            <v>24 hrs</v>
          </cell>
          <cell r="E53" t="str">
            <v>48 hrs</v>
          </cell>
          <cell r="F53" t="str">
            <v>Mensual, capturar el último martes de cada mes</v>
          </cell>
          <cell r="G53" t="str">
            <v>Personas físicas extranjeras</v>
          </cell>
          <cell r="H53" t="str">
            <v>Una acción</v>
          </cell>
          <cell r="I53" t="str">
            <v>Largo Plazo</v>
          </cell>
          <cell r="J53" t="str">
            <v>Anualizado Compuesto</v>
          </cell>
          <cell r="K53">
            <v>1.2500000000000001E-2</v>
          </cell>
          <cell r="L53" t="str">
            <v>HR AA / 3LP</v>
          </cell>
          <cell r="M53" t="str">
            <v>Deuda</v>
          </cell>
          <cell r="N53" t="str">
            <v>T+1</v>
          </cell>
          <cell r="O53" t="str">
            <v>Largo Plazo</v>
          </cell>
          <cell r="P53">
            <v>1.3009699745488428E-2</v>
          </cell>
        </row>
        <row r="54">
          <cell r="B54" t="str">
            <v>MULTIAR BF-F</v>
          </cell>
          <cell r="C54">
            <v>0.5625</v>
          </cell>
          <cell r="D54" t="str">
            <v>24 hrs</v>
          </cell>
          <cell r="E54" t="str">
            <v>48 hrs</v>
          </cell>
          <cell r="F54" t="str">
            <v>Mensual, capturar el último martes de cada mes</v>
          </cell>
          <cell r="G54" t="str">
            <v>Fondos de Fondos</v>
          </cell>
          <cell r="H54" t="str">
            <v>Una acción</v>
          </cell>
          <cell r="I54" t="str">
            <v>Largo Plazo</v>
          </cell>
          <cell r="J54" t="str">
            <v>Anualizado Compuesto</v>
          </cell>
          <cell r="K54">
            <v>5.0000000000000001E-4</v>
          </cell>
          <cell r="L54" t="str">
            <v>HR AA / 3LP</v>
          </cell>
          <cell r="M54" t="str">
            <v>Deuda</v>
          </cell>
          <cell r="N54" t="str">
            <v>T+1</v>
          </cell>
          <cell r="O54" t="str">
            <v>Largo Plazo</v>
          </cell>
          <cell r="P54">
            <v>1.0096997454884262E-3</v>
          </cell>
        </row>
        <row r="55">
          <cell r="B55"/>
          <cell r="C55"/>
          <cell r="D55"/>
          <cell r="E55"/>
          <cell r="F55"/>
          <cell r="G55"/>
          <cell r="H55"/>
          <cell r="I55"/>
          <cell r="J55"/>
          <cell r="K55"/>
          <cell r="L55"/>
          <cell r="M55"/>
          <cell r="N55"/>
          <cell r="O55"/>
          <cell r="P55"/>
        </row>
        <row r="56">
          <cell r="B56" t="str">
            <v>MULTINS</v>
          </cell>
          <cell r="C56">
            <v>0.5625</v>
          </cell>
          <cell r="D56" t="str">
            <v>Mismo día</v>
          </cell>
          <cell r="E56" t="str">
            <v>Mismo día</v>
          </cell>
          <cell r="F56" t="str">
            <v>Jueves</v>
          </cell>
          <cell r="G56">
            <v>0</v>
          </cell>
          <cell r="H56">
            <v>0</v>
          </cell>
          <cell r="I56" t="str">
            <v>Mediano Plazo</v>
          </cell>
          <cell r="J56" t="str">
            <v>Anualizado Compuesto</v>
          </cell>
          <cell r="K56">
            <v>0</v>
          </cell>
          <cell r="L56" t="str">
            <v>HR AAA / 1CP</v>
          </cell>
          <cell r="M56" t="str">
            <v>Deuda</v>
          </cell>
          <cell r="N56" t="str">
            <v>T</v>
          </cell>
          <cell r="O56" t="str">
            <v>Mediano Plazo</v>
          </cell>
          <cell r="P56"/>
        </row>
        <row r="57">
          <cell r="B57" t="str">
            <v>MULTINS A</v>
          </cell>
          <cell r="C57">
            <v>0.5625</v>
          </cell>
          <cell r="D57" t="str">
            <v>Mismo día</v>
          </cell>
          <cell r="E57" t="str">
            <v>Mismo día</v>
          </cell>
          <cell r="F57" t="str">
            <v>Jueves</v>
          </cell>
          <cell r="G57" t="str">
            <v>Capital Fijo</v>
          </cell>
          <cell r="H57">
            <v>0</v>
          </cell>
          <cell r="I57" t="str">
            <v>Mediano Plazo</v>
          </cell>
          <cell r="J57" t="str">
            <v>Anualizado Compuesto</v>
          </cell>
          <cell r="K57">
            <v>7.4999999999999997E-3</v>
          </cell>
          <cell r="L57" t="str">
            <v>HR AAA / 1CP</v>
          </cell>
          <cell r="M57" t="str">
            <v>Deuda</v>
          </cell>
          <cell r="N57" t="str">
            <v>T</v>
          </cell>
          <cell r="O57" t="str">
            <v>Mediano Plazo</v>
          </cell>
          <cell r="P57">
            <v>9.3782790273045005E-3</v>
          </cell>
        </row>
        <row r="58">
          <cell r="B58" t="str">
            <v>MULTINS BE-1</v>
          </cell>
          <cell r="C58">
            <v>0.5625</v>
          </cell>
          <cell r="D58" t="str">
            <v>Mismo día</v>
          </cell>
          <cell r="E58" t="str">
            <v>Mismo día</v>
          </cell>
          <cell r="F58" t="str">
            <v>Jueves</v>
          </cell>
          <cell r="G58" t="str">
            <v>Personas morales no sujetas a retención del ISR</v>
          </cell>
          <cell r="H58" t="str">
            <v>Una acción</v>
          </cell>
          <cell r="I58" t="str">
            <v>Mediano Plazo</v>
          </cell>
          <cell r="J58" t="str">
            <v>Anualizado Compuesto</v>
          </cell>
          <cell r="K58">
            <v>7.4999999999999997E-3</v>
          </cell>
          <cell r="L58" t="str">
            <v>HR AAA / 1CP</v>
          </cell>
          <cell r="M58" t="str">
            <v>Deuda</v>
          </cell>
          <cell r="N58" t="str">
            <v>T</v>
          </cell>
          <cell r="O58" t="str">
            <v>Mediano Plazo</v>
          </cell>
          <cell r="P58">
            <v>9.3782790273045005E-3</v>
          </cell>
        </row>
        <row r="59">
          <cell r="B59"/>
          <cell r="C59"/>
          <cell r="D59"/>
          <cell r="E59"/>
          <cell r="F59"/>
          <cell r="G59"/>
          <cell r="H59"/>
          <cell r="I59"/>
          <cell r="J59"/>
          <cell r="K59"/>
          <cell r="L59"/>
          <cell r="M59"/>
          <cell r="N59"/>
          <cell r="O59"/>
          <cell r="P59"/>
        </row>
        <row r="60">
          <cell r="B60" t="str">
            <v>NAFM-EX X1</v>
          </cell>
          <cell r="C60">
            <v>0.52083333333333337</v>
          </cell>
          <cell r="D60" t="str">
            <v>24 hrs</v>
          </cell>
          <cell r="E60" t="str">
            <v>24 hrs</v>
          </cell>
          <cell r="F60" t="str">
            <v>1er Miércoles de cada mes</v>
          </cell>
          <cell r="G60" t="str">
            <v>Morales No Contribuyentes</v>
          </cell>
          <cell r="H60" t="str">
            <v>Una acción</v>
          </cell>
          <cell r="I60" t="str">
            <v>Mediano Plazo</v>
          </cell>
          <cell r="J60" t="str">
            <v>Anualizado Compuesto</v>
          </cell>
          <cell r="K60">
            <v>5.5999999999999999E-3</v>
          </cell>
          <cell r="L60" t="str">
            <v>AAAf/S5 (mex)</v>
          </cell>
          <cell r="M60" t="str">
            <v>Deuda</v>
          </cell>
          <cell r="N60" t="str">
            <v>T+1</v>
          </cell>
          <cell r="O60"/>
          <cell r="P60"/>
        </row>
        <row r="61">
          <cell r="B61" t="str">
            <v>NAFMEX7 X2</v>
          </cell>
          <cell r="C61">
            <v>0.52083333333333337</v>
          </cell>
          <cell r="D61" t="str">
            <v>24 hrs</v>
          </cell>
          <cell r="E61" t="str">
            <v>24 hrs</v>
          </cell>
          <cell r="F61" t="str">
            <v>Miércoles</v>
          </cell>
          <cell r="G61" t="str">
            <v>Morales No Contribuyentes</v>
          </cell>
          <cell r="H61" t="str">
            <v>Una acción</v>
          </cell>
          <cell r="I61" t="str">
            <v>Mediano Plazo</v>
          </cell>
          <cell r="J61" t="str">
            <v>Anualizado Compuesto</v>
          </cell>
          <cell r="K61">
            <v>5.5999999999999999E-3</v>
          </cell>
          <cell r="L61" t="str">
            <v>AAAf/S3 (mex)</v>
          </cell>
          <cell r="M61" t="str">
            <v>Deuda</v>
          </cell>
          <cell r="N61" t="str">
            <v>T+1</v>
          </cell>
          <cell r="O61"/>
          <cell r="P61"/>
        </row>
        <row r="62">
          <cell r="B62"/>
          <cell r="C62"/>
          <cell r="D62"/>
          <cell r="E62"/>
          <cell r="F62"/>
          <cell r="G62"/>
          <cell r="H62"/>
          <cell r="I62"/>
          <cell r="J62"/>
          <cell r="K62"/>
          <cell r="L62"/>
          <cell r="M62"/>
          <cell r="N62"/>
          <cell r="O62"/>
        </row>
        <row r="63">
          <cell r="B63" t="str">
            <v>NAFCDVI F3</v>
          </cell>
          <cell r="C63">
            <v>0.52083333333333337</v>
          </cell>
          <cell r="D63" t="str">
            <v>24 hrs</v>
          </cell>
          <cell r="E63" t="str">
            <v>48 hrs</v>
          </cell>
          <cell r="F63" t="str">
            <v>Mensual, capturar el primer martes de cada mes</v>
          </cell>
          <cell r="G63" t="str">
            <v>Físicas</v>
          </cell>
          <cell r="H63">
            <v>100000</v>
          </cell>
          <cell r="I63" t="str">
            <v>Mediano Plazo</v>
          </cell>
          <cell r="J63" t="str">
            <v>Anualizado Compuesto</v>
          </cell>
          <cell r="K63">
            <v>1.0500000000000001E-2</v>
          </cell>
          <cell r="L63" t="str">
            <v>AAAf/S4 (mex)</v>
          </cell>
          <cell r="M63" t="str">
            <v>Deuda</v>
          </cell>
          <cell r="N63" t="str">
            <v>T+1</v>
          </cell>
          <cell r="O63"/>
        </row>
        <row r="64">
          <cell r="B64" t="str">
            <v>NAFCDVI M3</v>
          </cell>
          <cell r="C64">
            <v>0.52083333333333337</v>
          </cell>
          <cell r="D64" t="str">
            <v>24 hrs</v>
          </cell>
          <cell r="E64" t="str">
            <v>48 hrs</v>
          </cell>
          <cell r="F64" t="str">
            <v>Trimestral, capturar el primer martes de Marzo, Junio, Septiembre y Diciembre</v>
          </cell>
          <cell r="G64" t="str">
            <v>Morales</v>
          </cell>
          <cell r="H64" t="str">
            <v>Una acción</v>
          </cell>
          <cell r="I64" t="str">
            <v>Mediano Plazo</v>
          </cell>
          <cell r="J64" t="str">
            <v>Anualizado Compuesto</v>
          </cell>
          <cell r="K64">
            <v>1.0500000000000001E-2</v>
          </cell>
          <cell r="L64" t="str">
            <v>AAAf/S4 (mex)</v>
          </cell>
          <cell r="M64" t="str">
            <v>Deuda</v>
          </cell>
          <cell r="N64" t="str">
            <v>T+1</v>
          </cell>
          <cell r="O64"/>
        </row>
        <row r="65">
          <cell r="B65" t="str">
            <v>NAFINTR F1</v>
          </cell>
          <cell r="C65">
            <v>0.52083333333333337</v>
          </cell>
          <cell r="D65" t="str">
            <v>24 hrs</v>
          </cell>
          <cell r="E65" t="str">
            <v>48 hrs</v>
          </cell>
          <cell r="F65" t="str">
            <v>Capturar 2° y 4° martes de cada mes</v>
          </cell>
          <cell r="G65" t="str">
            <v>Físicas</v>
          </cell>
          <cell r="H65" t="str">
            <v>Una acción</v>
          </cell>
          <cell r="I65" t="str">
            <v>Mediano Plazo</v>
          </cell>
          <cell r="J65" t="str">
            <v>Anualizado Compuesto</v>
          </cell>
          <cell r="K65">
            <v>8.7499999999999991E-3</v>
          </cell>
          <cell r="L65" t="str">
            <v>AAAf/S4 (mex)</v>
          </cell>
          <cell r="M65" t="str">
            <v>Deuda</v>
          </cell>
          <cell r="N65" t="str">
            <v>T+1</v>
          </cell>
          <cell r="O65"/>
        </row>
        <row r="66">
          <cell r="B66" t="str">
            <v>NAFINTR M1</v>
          </cell>
          <cell r="C66">
            <v>0.52083333333333337</v>
          </cell>
          <cell r="D66" t="str">
            <v>24 hrs</v>
          </cell>
          <cell r="E66" t="str">
            <v>48 hrs</v>
          </cell>
          <cell r="F66" t="str">
            <v>Capturar 2° y 4° martes de cada mes</v>
          </cell>
          <cell r="G66" t="str">
            <v>Morales</v>
          </cell>
          <cell r="H66" t="str">
            <v>Una acción</v>
          </cell>
          <cell r="I66" t="str">
            <v>Mediano Plazo</v>
          </cell>
          <cell r="J66" t="str">
            <v>Anualizado Compuesto</v>
          </cell>
          <cell r="K66">
            <v>4.1999999999999997E-3</v>
          </cell>
          <cell r="L66" t="str">
            <v>AAAf/S4 (mex)</v>
          </cell>
          <cell r="M66" t="str">
            <v>Deuda</v>
          </cell>
          <cell r="N66" t="str">
            <v>T+1</v>
          </cell>
          <cell r="O66"/>
        </row>
        <row r="67">
          <cell r="B67" t="str">
            <v>NAFINTR X3</v>
          </cell>
          <cell r="C67">
            <v>0.52083333333333337</v>
          </cell>
          <cell r="D67" t="str">
            <v>24 hrs</v>
          </cell>
          <cell r="E67" t="str">
            <v>48 hrs</v>
          </cell>
          <cell r="F67" t="str">
            <v>Capturar 2° y 4° martes de cada mes</v>
          </cell>
          <cell r="G67" t="str">
            <v>Morales No Contribuyentes</v>
          </cell>
          <cell r="H67" t="str">
            <v>Una acción</v>
          </cell>
          <cell r="I67" t="str">
            <v>Mediano Plazo</v>
          </cell>
          <cell r="J67" t="str">
            <v>Anualizado Compuesto</v>
          </cell>
          <cell r="K67">
            <v>4.1999999999999997E-3</v>
          </cell>
          <cell r="L67" t="str">
            <v>AAAf/S4 (mex)</v>
          </cell>
          <cell r="M67" t="str">
            <v>Deuda</v>
          </cell>
          <cell r="N67" t="str">
            <v>T+1</v>
          </cell>
          <cell r="O67"/>
        </row>
        <row r="68">
          <cell r="B68" t="str">
            <v>FT-REAL BE3</v>
          </cell>
          <cell r="C68">
            <v>0.52083333333333337</v>
          </cell>
          <cell r="D68" t="str">
            <v>24 hrs</v>
          </cell>
          <cell r="E68" t="str">
            <v>48 hrs</v>
          </cell>
          <cell r="F68" t="str">
            <v>Diario</v>
          </cell>
          <cell r="G68" t="str">
            <v>Morales No Contribuyentes</v>
          </cell>
          <cell r="H68" t="str">
            <v>Una acción</v>
          </cell>
          <cell r="I68" t="str">
            <v>Mediano y Largo Plazo</v>
          </cell>
          <cell r="J68" t="str">
            <v>Anualizado Compuesto</v>
          </cell>
          <cell r="K68">
            <v>9.7999999999999979E-3</v>
          </cell>
          <cell r="L68" t="str">
            <v>AAAf / S6 (mex)</v>
          </cell>
          <cell r="M68" t="str">
            <v>Deuda</v>
          </cell>
          <cell r="N68" t="str">
            <v>T+1</v>
          </cell>
          <cell r="O68" t="str">
            <v>Discrecional de Tasa Real</v>
          </cell>
        </row>
        <row r="69">
          <cell r="B69" t="str">
            <v>FT-REAL BF3</v>
          </cell>
          <cell r="C69">
            <v>0.52083333333333337</v>
          </cell>
          <cell r="D69" t="str">
            <v>24 hrs</v>
          </cell>
          <cell r="E69" t="str">
            <v>48 hrs</v>
          </cell>
          <cell r="F69" t="str">
            <v>Diario</v>
          </cell>
          <cell r="G69" t="str">
            <v>Físicas</v>
          </cell>
          <cell r="H69" t="str">
            <v>Una acción</v>
          </cell>
          <cell r="I69" t="str">
            <v>Mediano y Largo Plazo</v>
          </cell>
          <cell r="J69" t="str">
            <v>Anualizado Compuesto</v>
          </cell>
          <cell r="K69">
            <v>1.0499999999999999E-2</v>
          </cell>
          <cell r="L69" t="str">
            <v>AAAf / S6 (mex)</v>
          </cell>
          <cell r="M69" t="str">
            <v>Deuda</v>
          </cell>
          <cell r="N69" t="str">
            <v>T+1</v>
          </cell>
          <cell r="O69" t="str">
            <v>Discrecional de Tasa Real</v>
          </cell>
        </row>
        <row r="70">
          <cell r="B70" t="str">
            <v>FT-REAL BM3</v>
          </cell>
          <cell r="C70">
            <v>0.52083333333333337</v>
          </cell>
          <cell r="D70" t="str">
            <v>24 hrs</v>
          </cell>
          <cell r="E70" t="str">
            <v>48 hrs</v>
          </cell>
          <cell r="F70" t="str">
            <v>Diario</v>
          </cell>
          <cell r="G70" t="str">
            <v>Morales</v>
          </cell>
          <cell r="H70" t="str">
            <v>Una acción</v>
          </cell>
          <cell r="I70" t="str">
            <v>Mediano y Largo Plazo</v>
          </cell>
          <cell r="J70" t="str">
            <v>Anualizado Compuesto</v>
          </cell>
          <cell r="K70">
            <v>1.0499999999999999E-2</v>
          </cell>
          <cell r="L70" t="str">
            <v>AAAf / S6 (mex)</v>
          </cell>
          <cell r="M70" t="str">
            <v>Deuda</v>
          </cell>
          <cell r="N70" t="str">
            <v>T+1</v>
          </cell>
          <cell r="O70" t="str">
            <v>Discrecional de Tasa Real</v>
          </cell>
        </row>
        <row r="71">
          <cell r="B71"/>
          <cell r="C71"/>
          <cell r="D71"/>
          <cell r="E71"/>
          <cell r="F71"/>
          <cell r="G71"/>
          <cell r="H71"/>
          <cell r="I71"/>
          <cell r="J71"/>
          <cell r="K71"/>
          <cell r="L71"/>
          <cell r="M71"/>
          <cell r="N71"/>
          <cell r="O71"/>
        </row>
        <row r="72">
          <cell r="B72" t="str">
            <v>MULTIUS</v>
          </cell>
          <cell r="C72">
            <v>0.52083333333333337</v>
          </cell>
          <cell r="D72" t="str">
            <v>24 hrs</v>
          </cell>
          <cell r="E72" t="str">
            <v>48 hrs</v>
          </cell>
          <cell r="F72" t="str">
            <v>Diario</v>
          </cell>
          <cell r="G72">
            <v>0</v>
          </cell>
          <cell r="H72">
            <v>0</v>
          </cell>
          <cell r="I72" t="str">
            <v>Corto Plazo</v>
          </cell>
          <cell r="J72" t="str">
            <v>Anualizado Compuesto</v>
          </cell>
          <cell r="K72">
            <v>0</v>
          </cell>
          <cell r="L72" t="str">
            <v>HR AAA / 2CP</v>
          </cell>
          <cell r="M72" t="str">
            <v>Deuda Dólares</v>
          </cell>
          <cell r="N72" t="str">
            <v>T+1</v>
          </cell>
          <cell r="O72" t="str">
            <v>Corto Plazo en Moneda Extranjera (IDCPME)</v>
          </cell>
        </row>
        <row r="73">
          <cell r="B73" t="str">
            <v>MULTIUS A</v>
          </cell>
          <cell r="C73">
            <v>0.52083333333333337</v>
          </cell>
          <cell r="D73" t="str">
            <v>24 hrs</v>
          </cell>
          <cell r="E73" t="str">
            <v>48 hrs</v>
          </cell>
          <cell r="F73" t="str">
            <v>Diario</v>
          </cell>
          <cell r="G73" t="str">
            <v>Capital Fijo</v>
          </cell>
          <cell r="H73">
            <v>0</v>
          </cell>
          <cell r="I73" t="str">
            <v>Corto Plazo</v>
          </cell>
          <cell r="J73" t="str">
            <v>Anualizado Compuesto</v>
          </cell>
          <cell r="K73">
            <v>1.0999999999999999E-2</v>
          </cell>
          <cell r="L73" t="str">
            <v>HR AAA / 2CP</v>
          </cell>
          <cell r="M73" t="str">
            <v>Deuda Dólares</v>
          </cell>
          <cell r="N73" t="str">
            <v>T+1</v>
          </cell>
          <cell r="O73" t="str">
            <v>Corto Plazo en Moneda Extranjera (IDCPME)</v>
          </cell>
          <cell r="P73">
            <v>1.1451603378631514E-2</v>
          </cell>
        </row>
        <row r="74">
          <cell r="B74" t="str">
            <v>MULTIUS BE-1</v>
          </cell>
          <cell r="C74">
            <v>0.52083333333333337</v>
          </cell>
          <cell r="D74" t="str">
            <v>24 hrs</v>
          </cell>
          <cell r="E74" t="str">
            <v>48 hrs</v>
          </cell>
          <cell r="F74" t="str">
            <v>Diario</v>
          </cell>
          <cell r="G74" t="str">
            <v>Personas morales no sujetas a retención del ISR</v>
          </cell>
          <cell r="H74" t="str">
            <v>Una acción</v>
          </cell>
          <cell r="I74" t="str">
            <v>Corto Plazo</v>
          </cell>
          <cell r="J74" t="str">
            <v>Anualizado Compuesto</v>
          </cell>
          <cell r="K74">
            <v>1.0999999999999999E-2</v>
          </cell>
          <cell r="L74" t="str">
            <v>HR AAA / 2CP</v>
          </cell>
          <cell r="M74" t="str">
            <v>Deuda Dólares</v>
          </cell>
          <cell r="N74" t="str">
            <v>T+1</v>
          </cell>
          <cell r="O74" t="str">
            <v>Corto Plazo en Moneda Extranjera (IDCPME)</v>
          </cell>
          <cell r="P74">
            <v>1.1451603378631514E-2</v>
          </cell>
        </row>
        <row r="75">
          <cell r="B75" t="str">
            <v>MULTIUS BF-1</v>
          </cell>
          <cell r="C75">
            <v>0.52083333333333337</v>
          </cell>
          <cell r="D75" t="str">
            <v>24 hrs</v>
          </cell>
          <cell r="E75" t="str">
            <v>48 hrs</v>
          </cell>
          <cell r="F75" t="str">
            <v>Diario</v>
          </cell>
          <cell r="G75" t="str">
            <v>Personas físicas mexicanas</v>
          </cell>
          <cell r="H75" t="str">
            <v>Una acción</v>
          </cell>
          <cell r="I75" t="str">
            <v>Corto Plazo</v>
          </cell>
          <cell r="J75" t="str">
            <v>Anualizado Compuesto</v>
          </cell>
          <cell r="K75">
            <v>1.0999999999999999E-2</v>
          </cell>
          <cell r="L75" t="str">
            <v>HR AAA / 2CP</v>
          </cell>
          <cell r="M75" t="str">
            <v>Deuda Dólares</v>
          </cell>
          <cell r="N75" t="str">
            <v>T+1</v>
          </cell>
          <cell r="O75" t="str">
            <v>Corto Plazo en Moneda Extranjera (IDCPME)</v>
          </cell>
          <cell r="P75">
            <v>1.1451603378631514E-2</v>
          </cell>
        </row>
        <row r="76">
          <cell r="B76" t="str">
            <v>MULTIUS BM-1</v>
          </cell>
          <cell r="C76">
            <v>0.52083333333333337</v>
          </cell>
          <cell r="D76" t="str">
            <v>24 hrs</v>
          </cell>
          <cell r="E76" t="str">
            <v>48 hrs</v>
          </cell>
          <cell r="F76" t="str">
            <v>Diario</v>
          </cell>
          <cell r="G76" t="str">
            <v>Personas morales mexicanas</v>
          </cell>
          <cell r="H76" t="str">
            <v>Una acción</v>
          </cell>
          <cell r="I76" t="str">
            <v>Corto Plazo</v>
          </cell>
          <cell r="J76" t="str">
            <v>Anualizado Compuesto</v>
          </cell>
          <cell r="K76">
            <v>1.0999999999999999E-2</v>
          </cell>
          <cell r="L76" t="str">
            <v>HR AAA / 2CP</v>
          </cell>
          <cell r="M76" t="str">
            <v>Deuda Dólares</v>
          </cell>
          <cell r="N76" t="str">
            <v>T+1</v>
          </cell>
          <cell r="O76" t="str">
            <v>Corto Plazo en Moneda Extranjera (IDCPME)</v>
          </cell>
          <cell r="P76">
            <v>1.1451603378631514E-2</v>
          </cell>
        </row>
        <row r="77">
          <cell r="B77" t="str">
            <v>MULTIUS BM-T</v>
          </cell>
          <cell r="C77">
            <v>0.52083333333333337</v>
          </cell>
          <cell r="D77" t="str">
            <v>24 hrs</v>
          </cell>
          <cell r="E77" t="str">
            <v>48 hrs</v>
          </cell>
          <cell r="F77" t="str">
            <v>Diario</v>
          </cell>
          <cell r="G77" t="str">
            <v>Personas morales extranjeras</v>
          </cell>
          <cell r="H77" t="str">
            <v>Una acción</v>
          </cell>
          <cell r="I77" t="str">
            <v>Corto Plazo</v>
          </cell>
          <cell r="J77" t="str">
            <v>Anualizado Compuesto</v>
          </cell>
          <cell r="K77">
            <v>1.0999999999999999E-2</v>
          </cell>
          <cell r="L77" t="str">
            <v>HR AAA / 2CP</v>
          </cell>
          <cell r="M77" t="str">
            <v>Deuda Dólares</v>
          </cell>
          <cell r="N77" t="str">
            <v>T+1</v>
          </cell>
          <cell r="O77" t="str">
            <v>Corto Plazo en Moneda Extranjera (IDCPME)</v>
          </cell>
          <cell r="P77">
            <v>1.1451603378631514E-2</v>
          </cell>
        </row>
        <row r="78">
          <cell r="B78" t="str">
            <v>MULTIUS BF-T</v>
          </cell>
          <cell r="C78">
            <v>0.52083333333333337</v>
          </cell>
          <cell r="D78" t="str">
            <v>24 hrs</v>
          </cell>
          <cell r="E78" t="str">
            <v>48 hrs</v>
          </cell>
          <cell r="F78" t="str">
            <v>Diario</v>
          </cell>
          <cell r="G78" t="str">
            <v>Personas físicas extranjeras</v>
          </cell>
          <cell r="H78" t="str">
            <v>Una acción</v>
          </cell>
          <cell r="I78" t="str">
            <v>Corto Plazo</v>
          </cell>
          <cell r="J78" t="str">
            <v>Anualizado Compuesto</v>
          </cell>
          <cell r="K78">
            <v>1.0999999999999999E-2</v>
          </cell>
          <cell r="L78" t="str">
            <v>HR AAA / 2CP</v>
          </cell>
          <cell r="M78" t="str">
            <v>Deuda Dólares</v>
          </cell>
          <cell r="N78" t="str">
            <v>T+1</v>
          </cell>
          <cell r="O78" t="str">
            <v>Corto Plazo en Moneda Extranjera (IDCPME)</v>
          </cell>
          <cell r="P78">
            <v>1.1451603378631514E-2</v>
          </cell>
        </row>
        <row r="79">
          <cell r="B79" t="str">
            <v>MULTIUS BF-H</v>
          </cell>
          <cell r="C79">
            <v>0.52083333333333337</v>
          </cell>
          <cell r="D79" t="str">
            <v>24 hrs</v>
          </cell>
          <cell r="E79" t="str">
            <v>48 hrs</v>
          </cell>
          <cell r="F79" t="str">
            <v>Diario</v>
          </cell>
          <cell r="G79" t="str">
            <v>Empleados, directivos, consejeros o jubilados de todas las entidades que formen parte del grupo financiero o empresarial al que pertenece la sociedad operadora.</v>
          </cell>
          <cell r="H79" t="str">
            <v>Una acción</v>
          </cell>
          <cell r="I79" t="str">
            <v>Corto Plazo</v>
          </cell>
          <cell r="J79" t="str">
            <v>Anualizado Compuesto</v>
          </cell>
          <cell r="K79">
            <v>2.5000000000000001E-3</v>
          </cell>
          <cell r="L79" t="str">
            <v>HR AAA / 2CP</v>
          </cell>
          <cell r="M79" t="str">
            <v>Deuda Dólares</v>
          </cell>
          <cell r="N79" t="str">
            <v>T+1</v>
          </cell>
          <cell r="O79" t="str">
            <v>Corto Plazo en Moneda Extranjera (IDCPME)</v>
          </cell>
          <cell r="P79">
            <v>2.9516033786315152E-3</v>
          </cell>
        </row>
        <row r="80">
          <cell r="B80" t="str">
            <v>MULTIUS BF-F</v>
          </cell>
          <cell r="C80">
            <v>0.52083333333333337</v>
          </cell>
          <cell r="D80" t="str">
            <v>24 hrs</v>
          </cell>
          <cell r="E80" t="str">
            <v>48 hrs</v>
          </cell>
          <cell r="F80" t="str">
            <v>Diario</v>
          </cell>
          <cell r="G80" t="str">
            <v>Fondos de Fondos</v>
          </cell>
          <cell r="H80" t="str">
            <v>Una acción</v>
          </cell>
          <cell r="I80" t="str">
            <v>Corto Plazo</v>
          </cell>
          <cell r="J80" t="str">
            <v>Anualizado Compuesto</v>
          </cell>
          <cell r="K80">
            <v>5.0000000000000001E-4</v>
          </cell>
          <cell r="L80" t="str">
            <v>HR AAA / 2CP</v>
          </cell>
          <cell r="M80" t="str">
            <v>Deuda Dólares</v>
          </cell>
          <cell r="N80" t="str">
            <v>T+1</v>
          </cell>
          <cell r="O80" t="str">
            <v>Corto Plazo en Moneda Extranjera (IDCPME)</v>
          </cell>
          <cell r="P80">
            <v>9.5160337863151533E-4</v>
          </cell>
        </row>
        <row r="81">
          <cell r="B81"/>
          <cell r="C81"/>
          <cell r="D81"/>
          <cell r="E81"/>
          <cell r="F81"/>
          <cell r="G81"/>
          <cell r="H81"/>
          <cell r="I81"/>
          <cell r="J81"/>
          <cell r="K81"/>
          <cell r="L81"/>
          <cell r="M81"/>
          <cell r="N81"/>
          <cell r="O81"/>
          <cell r="P81"/>
        </row>
        <row r="82">
          <cell r="B82" t="str">
            <v>TEMGBIA BE2</v>
          </cell>
          <cell r="C82">
            <v>0.52083333333333337</v>
          </cell>
          <cell r="D82" t="str">
            <v>24 hrs</v>
          </cell>
          <cell r="E82" t="str">
            <v>72 hrs</v>
          </cell>
          <cell r="F82" t="str">
            <v>Diario</v>
          </cell>
          <cell r="G82" t="str">
            <v>Morales No Contribuyentes</v>
          </cell>
          <cell r="H82" t="str">
            <v>Una acción</v>
          </cell>
          <cell r="I82" t="str">
            <v>Mediano a Largo Plazo</v>
          </cell>
          <cell r="J82" t="str">
            <v>Anualizado Compuesto</v>
          </cell>
          <cell r="K82">
            <v>7.4999999999999997E-3</v>
          </cell>
          <cell r="L82" t="str">
            <v>AAf / S6 (mex)</v>
          </cell>
          <cell r="M82" t="str">
            <v>Deuda Global</v>
          </cell>
          <cell r="N82" t="str">
            <v>T+1</v>
          </cell>
          <cell r="O82" t="str">
            <v>Largo Plazo General IDLP</v>
          </cell>
        </row>
        <row r="83">
          <cell r="B83" t="str">
            <v>TEMGBIA BF2</v>
          </cell>
          <cell r="C83">
            <v>0.52083333333333337</v>
          </cell>
          <cell r="D83" t="str">
            <v>24 hrs</v>
          </cell>
          <cell r="E83" t="str">
            <v>72 hrs</v>
          </cell>
          <cell r="F83" t="str">
            <v>Diario</v>
          </cell>
          <cell r="G83" t="str">
            <v>Físicas</v>
          </cell>
          <cell r="H83" t="str">
            <v>Una acción</v>
          </cell>
          <cell r="I83" t="str">
            <v>Mediano a Largo Plazo</v>
          </cell>
          <cell r="J83" t="str">
            <v>Anualizado Compuesto</v>
          </cell>
          <cell r="K83">
            <v>0.01</v>
          </cell>
          <cell r="L83" t="str">
            <v>AAf / S6 (mex)</v>
          </cell>
          <cell r="M83" t="str">
            <v>Deuda Global</v>
          </cell>
          <cell r="N83" t="str">
            <v>T+1</v>
          </cell>
          <cell r="O83" t="str">
            <v>Largo Plazo General IDLP</v>
          </cell>
        </row>
        <row r="84">
          <cell r="B84" t="str">
            <v>TEMGBIA BM2</v>
          </cell>
          <cell r="C84">
            <v>0.52083333333333337</v>
          </cell>
          <cell r="D84" t="str">
            <v>24 hrs</v>
          </cell>
          <cell r="E84" t="str">
            <v>72 hrs</v>
          </cell>
          <cell r="F84" t="str">
            <v>Diario</v>
          </cell>
          <cell r="G84" t="str">
            <v>Morales</v>
          </cell>
          <cell r="H84" t="str">
            <v>Una acción</v>
          </cell>
          <cell r="I84" t="str">
            <v>Mediano a Largo Plazo</v>
          </cell>
          <cell r="J84" t="str">
            <v>Anualizado Compuesto</v>
          </cell>
          <cell r="K84">
            <v>0.01</v>
          </cell>
          <cell r="L84" t="str">
            <v>AAf / S6 (mex)</v>
          </cell>
          <cell r="M84" t="str">
            <v>Deuda Global</v>
          </cell>
          <cell r="N84" t="str">
            <v>T+1</v>
          </cell>
          <cell r="O84" t="str">
            <v>Largo Plazo General IDLP</v>
          </cell>
        </row>
        <row r="85">
          <cell r="B85"/>
          <cell r="C85"/>
          <cell r="D85"/>
          <cell r="E85"/>
          <cell r="F85"/>
          <cell r="G85"/>
          <cell r="H85"/>
          <cell r="I85"/>
          <cell r="J85"/>
          <cell r="K85"/>
          <cell r="L85"/>
          <cell r="M85"/>
          <cell r="N85"/>
          <cell r="O85"/>
        </row>
        <row r="86">
          <cell r="B86" t="str">
            <v>MULTIPC</v>
          </cell>
          <cell r="C86" t="str">
            <v>14:00  (1)</v>
          </cell>
          <cell r="D86" t="str">
            <v>24 hrs</v>
          </cell>
          <cell r="E86" t="str">
            <v>24 hrs</v>
          </cell>
          <cell r="F86" t="str">
            <v>Diario</v>
          </cell>
          <cell r="G86">
            <v>0</v>
          </cell>
          <cell r="H86">
            <v>0</v>
          </cell>
          <cell r="I86" t="str">
            <v>Mediano Plazo</v>
          </cell>
          <cell r="J86" t="str">
            <v>Efectivo</v>
          </cell>
          <cell r="K86"/>
          <cell r="L86" t="str">
            <v>No aplica</v>
          </cell>
          <cell r="M86" t="str">
            <v>Acciones BMV</v>
          </cell>
          <cell r="N86" t="str">
            <v>T+1</v>
          </cell>
          <cell r="O86" t="str">
            <v>Especializada en Acciones</v>
          </cell>
        </row>
        <row r="87">
          <cell r="B87" t="str">
            <v>MULTIPC A</v>
          </cell>
          <cell r="C87" t="str">
            <v>14:00  (1)</v>
          </cell>
          <cell r="D87" t="str">
            <v>24 hrs</v>
          </cell>
          <cell r="E87" t="str">
            <v>24 hrs</v>
          </cell>
          <cell r="F87" t="str">
            <v>Diario</v>
          </cell>
          <cell r="G87" t="str">
            <v>Capital Fijo</v>
          </cell>
          <cell r="H87">
            <v>0</v>
          </cell>
          <cell r="I87" t="str">
            <v>Mediano Plazo</v>
          </cell>
          <cell r="J87" t="str">
            <v>Efectivo</v>
          </cell>
          <cell r="K87">
            <v>3.0000000000000002E-2</v>
          </cell>
          <cell r="L87" t="str">
            <v>No aplica</v>
          </cell>
          <cell r="M87" t="str">
            <v>Acciones BMV</v>
          </cell>
          <cell r="N87" t="str">
            <v>T+1</v>
          </cell>
          <cell r="O87" t="str">
            <v>Especializada en Acciones</v>
          </cell>
          <cell r="P87">
            <v>3.1329181680963311E-2</v>
          </cell>
        </row>
        <row r="88">
          <cell r="B88" t="str">
            <v>MULTIPC BE-1</v>
          </cell>
          <cell r="C88" t="str">
            <v>14:00  (1)</v>
          </cell>
          <cell r="D88" t="str">
            <v>24 hrs</v>
          </cell>
          <cell r="E88" t="str">
            <v>24 hrs</v>
          </cell>
          <cell r="F88" t="str">
            <v>Diario</v>
          </cell>
          <cell r="G88" t="str">
            <v>Personas morales no sujetas a retención del ISR</v>
          </cell>
          <cell r="H88" t="str">
            <v>Una acción</v>
          </cell>
          <cell r="I88" t="str">
            <v>Mediano Plazo</v>
          </cell>
          <cell r="J88" t="str">
            <v>Efectivo</v>
          </cell>
          <cell r="K88">
            <v>3.0000000000000002E-2</v>
          </cell>
          <cell r="L88" t="str">
            <v>No aplica</v>
          </cell>
          <cell r="M88" t="str">
            <v>Acciones BMV</v>
          </cell>
          <cell r="N88" t="str">
            <v>T+1</v>
          </cell>
          <cell r="O88" t="str">
            <v>Especializada en Acciones</v>
          </cell>
          <cell r="P88">
            <v>3.1329181680963311E-2</v>
          </cell>
        </row>
        <row r="89">
          <cell r="B89" t="str">
            <v>MULTIPC BF-1</v>
          </cell>
          <cell r="C89" t="str">
            <v>14:00  (1)</v>
          </cell>
          <cell r="D89" t="str">
            <v>24 hrs</v>
          </cell>
          <cell r="E89" t="str">
            <v>24 hrs</v>
          </cell>
          <cell r="F89" t="str">
            <v>Diario</v>
          </cell>
          <cell r="G89" t="str">
            <v>Personas físicas mexicanas</v>
          </cell>
          <cell r="H89" t="str">
            <v>Una acción</v>
          </cell>
          <cell r="I89" t="str">
            <v>Mediano Plazo</v>
          </cell>
          <cell r="J89" t="str">
            <v>Efectivo</v>
          </cell>
          <cell r="K89">
            <v>3.0000000000000002E-2</v>
          </cell>
          <cell r="L89" t="str">
            <v>No aplica</v>
          </cell>
          <cell r="M89" t="str">
            <v>Acciones BMV</v>
          </cell>
          <cell r="N89" t="str">
            <v>T+1</v>
          </cell>
          <cell r="O89" t="str">
            <v>Especializada en Acciones</v>
          </cell>
          <cell r="P89">
            <v>3.1329181680963311E-2</v>
          </cell>
        </row>
        <row r="90">
          <cell r="B90" t="str">
            <v>MULTIPC BM-1</v>
          </cell>
          <cell r="C90" t="str">
            <v>14:00  (1)</v>
          </cell>
          <cell r="D90" t="str">
            <v>24 hrs</v>
          </cell>
          <cell r="E90" t="str">
            <v>24 hrs</v>
          </cell>
          <cell r="F90" t="str">
            <v>Diario</v>
          </cell>
          <cell r="G90" t="str">
            <v>Personas morales mexicanas</v>
          </cell>
          <cell r="H90" t="str">
            <v>Una acción</v>
          </cell>
          <cell r="I90" t="str">
            <v>Mediano Plazo</v>
          </cell>
          <cell r="J90" t="str">
            <v>Efectivo</v>
          </cell>
          <cell r="K90">
            <v>1.7500000000000002E-2</v>
          </cell>
          <cell r="L90" t="str">
            <v>No aplica</v>
          </cell>
          <cell r="M90" t="str">
            <v>Acciones BMV</v>
          </cell>
          <cell r="N90" t="str">
            <v>T+1</v>
          </cell>
          <cell r="O90" t="str">
            <v>Especializada en Acciones</v>
          </cell>
          <cell r="P90">
            <v>1.8829181680963307E-2</v>
          </cell>
        </row>
        <row r="91">
          <cell r="B91" t="str">
            <v>MULTIPC BF-H</v>
          </cell>
          <cell r="C91" t="str">
            <v>14:00  (1)</v>
          </cell>
          <cell r="D91" t="str">
            <v>24 hrs</v>
          </cell>
          <cell r="E91" t="str">
            <v>24 hrs</v>
          </cell>
          <cell r="F91" t="str">
            <v>Diario</v>
          </cell>
          <cell r="G91" t="str">
            <v>Empleados, directivos, consejeros o jubilados de todas las entidades que formen parte del grupo financiero o empresarial al que pertenece la sociedad operadora.</v>
          </cell>
          <cell r="H91" t="str">
            <v>Una acción</v>
          </cell>
          <cell r="I91" t="str">
            <v>Mediano Plazo</v>
          </cell>
          <cell r="J91" t="str">
            <v>Efectivo</v>
          </cell>
          <cell r="K91">
            <v>2.5000000000000001E-3</v>
          </cell>
          <cell r="L91" t="str">
            <v>No aplica</v>
          </cell>
          <cell r="M91" t="str">
            <v>Acciones BMV</v>
          </cell>
          <cell r="N91" t="str">
            <v>T+1</v>
          </cell>
          <cell r="O91" t="str">
            <v>Especializada en Acciones</v>
          </cell>
          <cell r="P91">
            <v>3.8291816809633049E-3</v>
          </cell>
        </row>
        <row r="92">
          <cell r="B92" t="str">
            <v>MULTIPC BF-T</v>
          </cell>
          <cell r="C92" t="str">
            <v>14:00  (1)</v>
          </cell>
          <cell r="D92" t="str">
            <v>24 hrs</v>
          </cell>
          <cell r="E92" t="str">
            <v>24 hrs</v>
          </cell>
          <cell r="F92" t="str">
            <v>Diario</v>
          </cell>
          <cell r="G92" t="str">
            <v>Personas físicas extranjeras</v>
          </cell>
          <cell r="H92" t="str">
            <v>Una acción</v>
          </cell>
          <cell r="I92" t="str">
            <v>Mediano Plazo</v>
          </cell>
          <cell r="J92" t="str">
            <v>Efectivo</v>
          </cell>
          <cell r="K92">
            <v>3.0000000000000002E-2</v>
          </cell>
          <cell r="L92" t="str">
            <v>No aplica</v>
          </cell>
          <cell r="M92" t="str">
            <v>Acciones BMV</v>
          </cell>
          <cell r="N92" t="str">
            <v>T+1</v>
          </cell>
          <cell r="O92" t="str">
            <v>Especializada en Acciones</v>
          </cell>
          <cell r="P92">
            <v>3.1329181680963311E-2</v>
          </cell>
        </row>
        <row r="93">
          <cell r="B93" t="str">
            <v>MULTIPC BM-T</v>
          </cell>
          <cell r="C93" t="str">
            <v>14:00  (1)</v>
          </cell>
          <cell r="D93" t="str">
            <v>24 hrs</v>
          </cell>
          <cell r="E93" t="str">
            <v>24 hrs</v>
          </cell>
          <cell r="F93" t="str">
            <v>Diario</v>
          </cell>
          <cell r="G93" t="str">
            <v>Personas morales extranjeras</v>
          </cell>
          <cell r="H93" t="str">
            <v>Una acción</v>
          </cell>
          <cell r="I93" t="str">
            <v>Mediano Plazo</v>
          </cell>
          <cell r="J93" t="str">
            <v>Efectivo</v>
          </cell>
          <cell r="K93">
            <v>1.2500000000000001E-2</v>
          </cell>
          <cell r="L93" t="str">
            <v>No aplica</v>
          </cell>
          <cell r="M93" t="str">
            <v>Acciones BMV</v>
          </cell>
          <cell r="N93" t="str">
            <v>T+1</v>
          </cell>
          <cell r="O93" t="str">
            <v>Especializada en Acciones</v>
          </cell>
          <cell r="P93">
            <v>1.3829181680963306E-2</v>
          </cell>
        </row>
        <row r="94">
          <cell r="B94" t="str">
            <v>MULTIPC BF-F</v>
          </cell>
          <cell r="C94" t="str">
            <v>14:00  (1)</v>
          </cell>
          <cell r="D94" t="str">
            <v>24 hrs</v>
          </cell>
          <cell r="E94" t="str">
            <v>24 hrs</v>
          </cell>
          <cell r="F94" t="str">
            <v>Diario</v>
          </cell>
          <cell r="G94" t="str">
            <v>Fondos de Fondos</v>
          </cell>
          <cell r="H94" t="str">
            <v>Una acción</v>
          </cell>
          <cell r="I94" t="str">
            <v>Mediano Plazo</v>
          </cell>
          <cell r="J94" t="str">
            <v>Efectivo</v>
          </cell>
          <cell r="K94">
            <v>5.0000000000000001E-4</v>
          </cell>
          <cell r="L94" t="str">
            <v>No aplica</v>
          </cell>
          <cell r="M94" t="str">
            <v>Acciones BMV</v>
          </cell>
          <cell r="N94" t="str">
            <v>T+1</v>
          </cell>
          <cell r="O94" t="str">
            <v>Especializada en Acciones</v>
          </cell>
          <cell r="P94">
            <v>1.8291816809633051E-3</v>
          </cell>
        </row>
        <row r="95">
          <cell r="B95"/>
          <cell r="C95"/>
          <cell r="D95"/>
          <cell r="E95"/>
          <cell r="F95"/>
          <cell r="G95"/>
          <cell r="H95"/>
          <cell r="I95"/>
          <cell r="J95"/>
          <cell r="K95"/>
          <cell r="L95"/>
          <cell r="M95"/>
          <cell r="N95"/>
          <cell r="O95"/>
        </row>
        <row r="96">
          <cell r="B96" t="str">
            <v>MULTIEQ</v>
          </cell>
          <cell r="C96" t="str">
            <v>14:00  (1)</v>
          </cell>
          <cell r="D96" t="str">
            <v>24 hrs</v>
          </cell>
          <cell r="E96" t="str">
            <v>24 hrs</v>
          </cell>
          <cell r="F96" t="str">
            <v>Diario</v>
          </cell>
          <cell r="G96">
            <v>0</v>
          </cell>
          <cell r="H96">
            <v>0</v>
          </cell>
          <cell r="I96" t="str">
            <v>Largo Plazo</v>
          </cell>
          <cell r="J96" t="str">
            <v>Efectivo</v>
          </cell>
          <cell r="K96">
            <v>0</v>
          </cell>
          <cell r="L96" t="str">
            <v>No aplica</v>
          </cell>
          <cell r="M96" t="str">
            <v>S&amp;P500</v>
          </cell>
          <cell r="N96" t="str">
            <v>T+1</v>
          </cell>
          <cell r="O96" t="str">
            <v>Especializado en Renta Variable</v>
          </cell>
        </row>
        <row r="97">
          <cell r="B97" t="str">
            <v>MULTIEQ A</v>
          </cell>
          <cell r="C97" t="str">
            <v>14:00  (1)</v>
          </cell>
          <cell r="D97" t="str">
            <v>24 hrs</v>
          </cell>
          <cell r="E97" t="str">
            <v>24 hrs</v>
          </cell>
          <cell r="F97" t="str">
            <v>Diario</v>
          </cell>
          <cell r="G97" t="str">
            <v>Capital Fijo</v>
          </cell>
          <cell r="H97">
            <v>0</v>
          </cell>
          <cell r="I97" t="str">
            <v>Largo Plazo</v>
          </cell>
          <cell r="J97" t="str">
            <v>Efectivo</v>
          </cell>
          <cell r="K97">
            <v>1.8000000000000002E-2</v>
          </cell>
          <cell r="L97" t="str">
            <v>No aplica</v>
          </cell>
          <cell r="M97" t="str">
            <v>S&amp;P500</v>
          </cell>
          <cell r="N97" t="str">
            <v>T+1</v>
          </cell>
          <cell r="O97" t="str">
            <v>Especializado en Renta Variable</v>
          </cell>
          <cell r="P97">
            <v>1.82782790273045E-2</v>
          </cell>
        </row>
        <row r="98">
          <cell r="B98" t="str">
            <v>MULTIEQ BE-1</v>
          </cell>
          <cell r="C98" t="str">
            <v>14:00  (1)</v>
          </cell>
          <cell r="D98" t="str">
            <v>24 hrs</v>
          </cell>
          <cell r="E98" t="str">
            <v>24 hrs</v>
          </cell>
          <cell r="F98" t="str">
            <v>Diario</v>
          </cell>
          <cell r="G98" t="str">
            <v>Personas morales no sujetas a retención del ISR</v>
          </cell>
          <cell r="H98" t="str">
            <v>Una acción</v>
          </cell>
          <cell r="I98" t="str">
            <v>Largo Plazo</v>
          </cell>
          <cell r="J98" t="str">
            <v>Efectivo</v>
          </cell>
          <cell r="K98">
            <v>1.8000000000000002E-2</v>
          </cell>
          <cell r="L98" t="str">
            <v>No aplica</v>
          </cell>
          <cell r="M98" t="str">
            <v>S&amp;P500</v>
          </cell>
          <cell r="N98" t="str">
            <v>T+1</v>
          </cell>
          <cell r="O98" t="str">
            <v>Especializado en Renta Variable</v>
          </cell>
          <cell r="P98">
            <v>1.82782790273045E-2</v>
          </cell>
        </row>
        <row r="99">
          <cell r="B99" t="str">
            <v>MULTIEQ BF-1</v>
          </cell>
          <cell r="C99" t="str">
            <v>14:00  (1)</v>
          </cell>
          <cell r="D99" t="str">
            <v>24 hrs</v>
          </cell>
          <cell r="E99" t="str">
            <v>24 hrs</v>
          </cell>
          <cell r="F99" t="str">
            <v>Diario</v>
          </cell>
          <cell r="G99" t="str">
            <v>Personas físicas mexicanas</v>
          </cell>
          <cell r="H99" t="str">
            <v>Una acción</v>
          </cell>
          <cell r="I99" t="str">
            <v>Largo Plazo</v>
          </cell>
          <cell r="J99" t="str">
            <v>Efectivo</v>
          </cell>
          <cell r="K99">
            <v>1.8000000000000002E-2</v>
          </cell>
          <cell r="L99" t="str">
            <v>No aplica</v>
          </cell>
          <cell r="M99" t="str">
            <v>S&amp;P500</v>
          </cell>
          <cell r="N99" t="str">
            <v>T+1</v>
          </cell>
          <cell r="O99" t="str">
            <v>Especializado en Renta Variable</v>
          </cell>
          <cell r="P99">
            <v>1.82782790273045E-2</v>
          </cell>
        </row>
        <row r="100">
          <cell r="B100" t="str">
            <v>MULTIEQ BM-1</v>
          </cell>
          <cell r="C100" t="str">
            <v>14:00  (1)</v>
          </cell>
          <cell r="D100" t="str">
            <v>24 hrs</v>
          </cell>
          <cell r="E100" t="str">
            <v>24 hrs</v>
          </cell>
          <cell r="F100" t="str">
            <v>Diario</v>
          </cell>
          <cell r="G100" t="str">
            <v>Personas morales mexicanas</v>
          </cell>
          <cell r="H100" t="str">
            <v>Una acción</v>
          </cell>
          <cell r="I100" t="str">
            <v>Largo Plazo</v>
          </cell>
          <cell r="J100" t="str">
            <v>Efectivo</v>
          </cell>
          <cell r="K100">
            <v>1.8000000000000002E-2</v>
          </cell>
          <cell r="L100" t="str">
            <v>No aplica</v>
          </cell>
          <cell r="M100" t="str">
            <v>S&amp;P500</v>
          </cell>
          <cell r="N100" t="str">
            <v>T+1</v>
          </cell>
          <cell r="O100" t="str">
            <v>Especializado en Renta Variable</v>
          </cell>
          <cell r="P100">
            <v>1.82782790273045E-2</v>
          </cell>
        </row>
        <row r="101">
          <cell r="B101" t="str">
            <v>MULTIEQ BF-H</v>
          </cell>
          <cell r="C101" t="str">
            <v>14:00  (1)</v>
          </cell>
          <cell r="D101" t="str">
            <v>24 hrs</v>
          </cell>
          <cell r="E101" t="str">
            <v>24 hrs</v>
          </cell>
          <cell r="F101" t="str">
            <v>Diario</v>
          </cell>
          <cell r="G101" t="str">
            <v>Empleados, directivos, consejeros o jubilados de todas las entidades que formen parte del grupo financiero o empresarial al que pertenece la sociedad operadora.</v>
          </cell>
          <cell r="H101" t="str">
            <v>Una acción</v>
          </cell>
          <cell r="I101" t="str">
            <v>Largo Plazo</v>
          </cell>
          <cell r="J101" t="str">
            <v>Efectivo</v>
          </cell>
          <cell r="K101">
            <v>2.5000000000000001E-3</v>
          </cell>
          <cell r="L101" t="str">
            <v>No aplica</v>
          </cell>
          <cell r="M101" t="str">
            <v>S&amp;P500</v>
          </cell>
          <cell r="N101" t="str">
            <v>T+1</v>
          </cell>
          <cell r="O101" t="str">
            <v>Especializado en Renta Variable</v>
          </cell>
          <cell r="P101">
            <v>2.7782790273045009E-3</v>
          </cell>
        </row>
        <row r="102">
          <cell r="B102" t="str">
            <v>MULTIEQ BF-T</v>
          </cell>
          <cell r="C102" t="str">
            <v>14:00  (1)</v>
          </cell>
          <cell r="D102" t="str">
            <v>24 hrs</v>
          </cell>
          <cell r="E102" t="str">
            <v>24 hrs</v>
          </cell>
          <cell r="F102" t="str">
            <v>Diario</v>
          </cell>
          <cell r="G102" t="str">
            <v>Personas físicas extranjeras</v>
          </cell>
          <cell r="H102" t="str">
            <v>Una acción</v>
          </cell>
          <cell r="I102" t="str">
            <v>Largo Plazo</v>
          </cell>
          <cell r="J102" t="str">
            <v>Efectivo</v>
          </cell>
          <cell r="K102">
            <v>1.8000000000000002E-2</v>
          </cell>
          <cell r="L102" t="str">
            <v>No aplica</v>
          </cell>
          <cell r="M102" t="str">
            <v>S&amp;P500</v>
          </cell>
          <cell r="N102" t="str">
            <v>T+1</v>
          </cell>
          <cell r="O102" t="str">
            <v>Especializado en Renta Variable</v>
          </cell>
          <cell r="P102">
            <v>1.82782790273045E-2</v>
          </cell>
        </row>
        <row r="103">
          <cell r="B103" t="str">
            <v>MULTIEQ BM-T</v>
          </cell>
          <cell r="C103" t="str">
            <v>14:00  (1)</v>
          </cell>
          <cell r="D103" t="str">
            <v>24 hrs</v>
          </cell>
          <cell r="E103" t="str">
            <v>24 hrs</v>
          </cell>
          <cell r="F103" t="str">
            <v>Diario</v>
          </cell>
          <cell r="G103" t="str">
            <v>Personas morales extranjeras</v>
          </cell>
          <cell r="H103" t="str">
            <v>Una acción</v>
          </cell>
          <cell r="I103" t="str">
            <v>Largo Plazo</v>
          </cell>
          <cell r="J103" t="str">
            <v>Efectivo</v>
          </cell>
          <cell r="K103">
            <v>1.8000000000000002E-2</v>
          </cell>
          <cell r="L103" t="str">
            <v>No aplica</v>
          </cell>
          <cell r="M103" t="str">
            <v>S&amp;P500</v>
          </cell>
          <cell r="N103" t="str">
            <v>T+1</v>
          </cell>
          <cell r="O103" t="str">
            <v>Especializado en Renta Variable</v>
          </cell>
          <cell r="P103">
            <v>1.82782790273045E-2</v>
          </cell>
        </row>
        <row r="104">
          <cell r="B104" t="str">
            <v>MULTIEQ BF-F</v>
          </cell>
          <cell r="C104" t="str">
            <v>14:00  (1)</v>
          </cell>
          <cell r="D104" t="str">
            <v>24 hrs</v>
          </cell>
          <cell r="E104" t="str">
            <v>24 hrs</v>
          </cell>
          <cell r="F104" t="str">
            <v>Diario</v>
          </cell>
          <cell r="G104" t="str">
            <v>Fondos de Fondos</v>
          </cell>
          <cell r="H104" t="str">
            <v>Una acción</v>
          </cell>
          <cell r="I104" t="str">
            <v>Largo Plazo</v>
          </cell>
          <cell r="J104" t="str">
            <v>Efectivo</v>
          </cell>
          <cell r="K104">
            <v>5.0000000000000001E-4</v>
          </cell>
          <cell r="L104" t="str">
            <v>No aplica</v>
          </cell>
          <cell r="M104" t="str">
            <v>S&amp;P500</v>
          </cell>
          <cell r="N104" t="str">
            <v>T+1</v>
          </cell>
          <cell r="O104" t="str">
            <v>Especializado en Renta Variable</v>
          </cell>
          <cell r="P104">
            <v>7.782790273045011E-4</v>
          </cell>
        </row>
        <row r="105">
          <cell r="B105"/>
          <cell r="C105"/>
          <cell r="D105"/>
          <cell r="E105"/>
          <cell r="F105"/>
          <cell r="G105"/>
          <cell r="H105"/>
          <cell r="I105"/>
          <cell r="J105"/>
          <cell r="K105"/>
          <cell r="L105"/>
          <cell r="M105"/>
          <cell r="N105"/>
          <cell r="O105"/>
        </row>
        <row r="106">
          <cell r="B106" t="str">
            <v>MVFANG+</v>
          </cell>
          <cell r="C106" t="str">
            <v>14:00  (1)</v>
          </cell>
          <cell r="D106" t="str">
            <v>24 hrs</v>
          </cell>
          <cell r="E106" t="str">
            <v>24 hrs</v>
          </cell>
          <cell r="F106" t="str">
            <v>Diario</v>
          </cell>
          <cell r="G106">
            <v>0</v>
          </cell>
          <cell r="H106">
            <v>0</v>
          </cell>
          <cell r="I106" t="str">
            <v>Largo Plazo</v>
          </cell>
          <cell r="J106" t="str">
            <v>Efectivo</v>
          </cell>
          <cell r="K106">
            <v>0</v>
          </cell>
          <cell r="L106" t="str">
            <v>No aplica</v>
          </cell>
          <cell r="M106" t="str">
            <v>NASDAQ 100</v>
          </cell>
          <cell r="N106" t="str">
            <v>T+1</v>
          </cell>
          <cell r="O106" t="str">
            <v>Especializado en Renta Variable</v>
          </cell>
        </row>
        <row r="107">
          <cell r="B107" t="str">
            <v>MVFANG+ A</v>
          </cell>
          <cell r="C107" t="str">
            <v>14:00  (1)</v>
          </cell>
          <cell r="D107" t="str">
            <v>24 hrs</v>
          </cell>
          <cell r="E107" t="str">
            <v>24 hrs</v>
          </cell>
          <cell r="F107" t="str">
            <v>Diario</v>
          </cell>
          <cell r="G107" t="str">
            <v>Capital Fijo</v>
          </cell>
          <cell r="H107">
            <v>0</v>
          </cell>
          <cell r="I107" t="str">
            <v>Largo Plazo</v>
          </cell>
          <cell r="J107" t="str">
            <v>Efectivo</v>
          </cell>
          <cell r="K107">
            <v>1.8000000000000002E-2</v>
          </cell>
          <cell r="L107" t="str">
            <v>No aplica</v>
          </cell>
          <cell r="M107" t="str">
            <v>NASDAQ 100</v>
          </cell>
          <cell r="N107" t="str">
            <v>T+1</v>
          </cell>
          <cell r="O107" t="str">
            <v>Especializado en Renta Variable</v>
          </cell>
          <cell r="P107">
            <v>1.8439968479157829E-2</v>
          </cell>
        </row>
        <row r="108">
          <cell r="B108" t="str">
            <v>MVFANG+ BE-1</v>
          </cell>
          <cell r="C108" t="str">
            <v>14:00  (1)</v>
          </cell>
          <cell r="D108" t="str">
            <v>24 hrs</v>
          </cell>
          <cell r="E108" t="str">
            <v>24 hrs</v>
          </cell>
          <cell r="F108" t="str">
            <v>Diario</v>
          </cell>
          <cell r="G108" t="str">
            <v>Personas morales no sujetas a retención del ISR</v>
          </cell>
          <cell r="H108" t="str">
            <v>Una acción</v>
          </cell>
          <cell r="I108" t="str">
            <v>Largo Plazo</v>
          </cell>
          <cell r="J108" t="str">
            <v>Efectivo</v>
          </cell>
          <cell r="K108">
            <v>1.8000000000000002E-2</v>
          </cell>
          <cell r="L108" t="str">
            <v>No aplica</v>
          </cell>
          <cell r="M108" t="str">
            <v>NASDAQ 100</v>
          </cell>
          <cell r="N108" t="str">
            <v>T+1</v>
          </cell>
          <cell r="O108" t="str">
            <v>Especializado en Renta Variable</v>
          </cell>
          <cell r="P108">
            <v>1.8439968479157829E-2</v>
          </cell>
        </row>
        <row r="109">
          <cell r="B109" t="str">
            <v>MVFANG+ BF-1</v>
          </cell>
          <cell r="C109" t="str">
            <v>14:00  (1)</v>
          </cell>
          <cell r="D109" t="str">
            <v>24 hrs</v>
          </cell>
          <cell r="E109" t="str">
            <v>24 hrs</v>
          </cell>
          <cell r="F109" t="str">
            <v>Diario</v>
          </cell>
          <cell r="G109" t="str">
            <v>Personas físicas mexicanas</v>
          </cell>
          <cell r="H109" t="str">
            <v>Una acción</v>
          </cell>
          <cell r="I109" t="str">
            <v>Largo Plazo</v>
          </cell>
          <cell r="J109" t="str">
            <v>Efectivo</v>
          </cell>
          <cell r="K109">
            <v>1.8000000000000002E-2</v>
          </cell>
          <cell r="L109" t="str">
            <v>No aplica</v>
          </cell>
          <cell r="M109" t="str">
            <v>NASDAQ 100</v>
          </cell>
          <cell r="N109" t="str">
            <v>T+1</v>
          </cell>
          <cell r="O109" t="str">
            <v>Especializado en Renta Variable</v>
          </cell>
          <cell r="P109">
            <v>1.8439968479157829E-2</v>
          </cell>
        </row>
        <row r="110">
          <cell r="B110" t="str">
            <v>MVFANG+ BF-F</v>
          </cell>
          <cell r="C110" t="str">
            <v>14:00  (1)</v>
          </cell>
          <cell r="D110" t="str">
            <v>24 hrs</v>
          </cell>
          <cell r="E110" t="str">
            <v>24 hrs</v>
          </cell>
          <cell r="F110" t="str">
            <v>Diario</v>
          </cell>
          <cell r="G110" t="str">
            <v>Fondos de Fondos</v>
          </cell>
          <cell r="H110" t="str">
            <v>Una acción</v>
          </cell>
          <cell r="I110" t="str">
            <v>Largo Plazo</v>
          </cell>
          <cell r="J110" t="str">
            <v>Efectivo</v>
          </cell>
          <cell r="K110">
            <v>5.0000000000000001E-4</v>
          </cell>
          <cell r="L110" t="str">
            <v>No aplica</v>
          </cell>
          <cell r="M110" t="str">
            <v>NASDAQ 100</v>
          </cell>
          <cell r="N110" t="str">
            <v>T+1</v>
          </cell>
          <cell r="O110" t="str">
            <v>Especializado en Renta Variable</v>
          </cell>
          <cell r="P110">
            <v>9.3996847915782757E-4</v>
          </cell>
        </row>
        <row r="111">
          <cell r="B111" t="str">
            <v>MVFANG+ BF-H</v>
          </cell>
          <cell r="C111" t="str">
            <v>14:00  (1)</v>
          </cell>
          <cell r="D111" t="str">
            <v>24 hrs</v>
          </cell>
          <cell r="E111" t="str">
            <v>24 hrs</v>
          </cell>
          <cell r="F111" t="str">
            <v>Diario</v>
          </cell>
          <cell r="G111" t="str">
            <v>Empleados, directivos, consejeros o jubilados de todas las entidades que formen parte del grupo financiero o empresarial al que pertenece la sociedad operadora.</v>
          </cell>
          <cell r="H111" t="str">
            <v>Una acción</v>
          </cell>
          <cell r="I111" t="str">
            <v>Largo Plazo</v>
          </cell>
          <cell r="J111" t="str">
            <v>Efectivo</v>
          </cell>
          <cell r="K111">
            <v>2.5000000000000001E-3</v>
          </cell>
          <cell r="L111" t="str">
            <v>No aplica</v>
          </cell>
          <cell r="M111" t="str">
            <v>NASDAQ 100</v>
          </cell>
          <cell r="N111" t="str">
            <v>T+1</v>
          </cell>
          <cell r="O111" t="str">
            <v>Especializado en Renta Variable</v>
          </cell>
          <cell r="P111">
            <v>2.9399684791578274E-3</v>
          </cell>
        </row>
        <row r="112">
          <cell r="B112" t="str">
            <v>MVFANG+ BF-T</v>
          </cell>
          <cell r="C112" t="str">
            <v>14:00  (1)</v>
          </cell>
          <cell r="D112" t="str">
            <v>24 hrs</v>
          </cell>
          <cell r="E112" t="str">
            <v>24 hrs</v>
          </cell>
          <cell r="F112" t="str">
            <v>Diario</v>
          </cell>
          <cell r="G112" t="str">
            <v>Personas físicas extranjeras</v>
          </cell>
          <cell r="H112" t="str">
            <v>Una acción</v>
          </cell>
          <cell r="I112" t="str">
            <v>Largo Plazo</v>
          </cell>
          <cell r="J112" t="str">
            <v>Efectivo</v>
          </cell>
          <cell r="K112">
            <v>1.8000000000000002E-2</v>
          </cell>
          <cell r="L112" t="str">
            <v>No aplica</v>
          </cell>
          <cell r="M112" t="str">
            <v>NASDAQ 100</v>
          </cell>
          <cell r="N112" t="str">
            <v>T+1</v>
          </cell>
          <cell r="O112" t="str">
            <v>Especializado en Renta Variable</v>
          </cell>
          <cell r="P112">
            <v>1.8439968479157829E-2</v>
          </cell>
        </row>
        <row r="113">
          <cell r="B113" t="str">
            <v>MVFANG+ BM-1</v>
          </cell>
          <cell r="C113" t="str">
            <v>14:00  (1)</v>
          </cell>
          <cell r="D113" t="str">
            <v>24 hrs</v>
          </cell>
          <cell r="E113" t="str">
            <v>24 hrs</v>
          </cell>
          <cell r="F113" t="str">
            <v>Diario</v>
          </cell>
          <cell r="G113" t="str">
            <v>Personas morales mexicanas</v>
          </cell>
          <cell r="H113" t="str">
            <v>Una acción</v>
          </cell>
          <cell r="I113" t="str">
            <v>Largo Plazo</v>
          </cell>
          <cell r="J113" t="str">
            <v>Efectivo</v>
          </cell>
          <cell r="K113">
            <v>1.8000000000000002E-2</v>
          </cell>
          <cell r="L113" t="str">
            <v>No aplica</v>
          </cell>
          <cell r="M113" t="str">
            <v>NASDAQ 100</v>
          </cell>
          <cell r="N113" t="str">
            <v>T+1</v>
          </cell>
          <cell r="O113" t="str">
            <v>Especializado en Renta Variable</v>
          </cell>
          <cell r="P113">
            <v>1.8439968479157829E-2</v>
          </cell>
        </row>
        <row r="114">
          <cell r="B114" t="str">
            <v>MVFANG+ BM-T</v>
          </cell>
          <cell r="C114" t="str">
            <v>14:00  (1)</v>
          </cell>
          <cell r="D114" t="str">
            <v>24 hrs</v>
          </cell>
          <cell r="E114" t="str">
            <v>24 hrs</v>
          </cell>
          <cell r="F114" t="str">
            <v>Diario</v>
          </cell>
          <cell r="G114" t="str">
            <v>Personas morales extranjeras</v>
          </cell>
          <cell r="H114" t="str">
            <v>Una acción</v>
          </cell>
          <cell r="I114" t="str">
            <v>Largo Plazo</v>
          </cell>
          <cell r="J114" t="str">
            <v>Efectivo</v>
          </cell>
          <cell r="K114">
            <v>1.8000000000000002E-2</v>
          </cell>
          <cell r="L114" t="str">
            <v>No aplica</v>
          </cell>
          <cell r="M114" t="str">
            <v>NASDAQ 100</v>
          </cell>
          <cell r="N114" t="str">
            <v>T+1</v>
          </cell>
          <cell r="O114" t="str">
            <v>Especializado en Renta Variable</v>
          </cell>
          <cell r="P114">
            <v>1.8439968479157829E-2</v>
          </cell>
        </row>
        <row r="115">
          <cell r="B115"/>
          <cell r="C115"/>
          <cell r="D115"/>
          <cell r="E115"/>
          <cell r="F115"/>
          <cell r="G115"/>
          <cell r="H115"/>
          <cell r="I115"/>
          <cell r="J115"/>
          <cell r="K115"/>
          <cell r="L115"/>
          <cell r="M115"/>
          <cell r="N115"/>
          <cell r="O115"/>
        </row>
        <row r="116">
          <cell r="B116" t="str">
            <v>FRANUSA B-3</v>
          </cell>
          <cell r="C116">
            <v>0.52083333333333337</v>
          </cell>
          <cell r="D116" t="str">
            <v>24 hrs</v>
          </cell>
          <cell r="E116" t="str">
            <v>72 hrs</v>
          </cell>
          <cell r="F116" t="str">
            <v>Diario</v>
          </cell>
          <cell r="G116" t="str">
            <v>Físicas, Morales y Morales No Contribuyentes</v>
          </cell>
          <cell r="H116" t="str">
            <v>Una acción</v>
          </cell>
          <cell r="I116" t="str">
            <v>Largo Plazo</v>
          </cell>
          <cell r="J116" t="str">
            <v>Efectivo</v>
          </cell>
          <cell r="K116">
            <v>1.2500000000000001E-2</v>
          </cell>
          <cell r="M116" t="str">
            <v>Acciones USA</v>
          </cell>
          <cell r="N116" t="str">
            <v>T+1</v>
          </cell>
          <cell r="O116" t="str">
            <v>Especializada en Acciones  Internacionales RVESACCINT</v>
          </cell>
        </row>
        <row r="117">
          <cell r="B117" t="str">
            <v>FRANOPR B-3</v>
          </cell>
          <cell r="C117">
            <v>0.52083333333333337</v>
          </cell>
          <cell r="D117" t="str">
            <v>24 hrs</v>
          </cell>
          <cell r="E117" t="str">
            <v>72 hrs</v>
          </cell>
          <cell r="F117" t="str">
            <v>Diario</v>
          </cell>
          <cell r="G117" t="str">
            <v>Físicas, Morales y Morales No Contribuyentes</v>
          </cell>
          <cell r="H117" t="str">
            <v>Una acción</v>
          </cell>
          <cell r="I117" t="str">
            <v>Largo Plazo</v>
          </cell>
          <cell r="J117" t="str">
            <v>Efectivo</v>
          </cell>
          <cell r="K117">
            <v>9.9000000000000008E-3</v>
          </cell>
          <cell r="M117" t="str">
            <v>Acciones USA</v>
          </cell>
          <cell r="N117" t="str">
            <v>T+1</v>
          </cell>
          <cell r="O117" t="str">
            <v>Especializada en Acciones  Internacionales RVESACCINT</v>
          </cell>
        </row>
        <row r="118">
          <cell r="B118" t="str">
            <v>FT-USA1 BF3</v>
          </cell>
          <cell r="C118">
            <v>0.52083333333333337</v>
          </cell>
          <cell r="D118" t="str">
            <v>24 hrs</v>
          </cell>
          <cell r="E118" t="str">
            <v>48 hrs</v>
          </cell>
          <cell r="F118" t="str">
            <v>Diario</v>
          </cell>
          <cell r="G118" t="str">
            <v>Físicas</v>
          </cell>
          <cell r="H118" t="str">
            <v>Una acción</v>
          </cell>
          <cell r="I118" t="str">
            <v>Largo Plazo</v>
          </cell>
          <cell r="J118" t="str">
            <v>Efectivo</v>
          </cell>
          <cell r="K118">
            <v>1.2500000000000001E-2</v>
          </cell>
          <cell r="M118" t="str">
            <v>Acciones USA</v>
          </cell>
          <cell r="N118" t="str">
            <v>T+1</v>
          </cell>
          <cell r="O118" t="str">
            <v>Especializada en acciones del mercado de los Estados Unidos de América</v>
          </cell>
        </row>
        <row r="119">
          <cell r="B119" t="str">
            <v>FT-USA1 BM2</v>
          </cell>
          <cell r="C119">
            <v>0.52083333333333337</v>
          </cell>
          <cell r="D119" t="str">
            <v>24 hrs</v>
          </cell>
          <cell r="E119" t="str">
            <v>48 hrs</v>
          </cell>
          <cell r="F119" t="str">
            <v>Diario</v>
          </cell>
          <cell r="G119" t="str">
            <v>Morales</v>
          </cell>
          <cell r="H119" t="str">
            <v>Una acción</v>
          </cell>
          <cell r="I119" t="str">
            <v>Largo Plazo</v>
          </cell>
          <cell r="J119" t="str">
            <v>Efectivo</v>
          </cell>
          <cell r="K119">
            <v>1.37E-2</v>
          </cell>
          <cell r="M119" t="str">
            <v>Acciones USA</v>
          </cell>
          <cell r="N119" t="str">
            <v>T+1</v>
          </cell>
          <cell r="O119" t="str">
            <v>Especializada en acciones del mercado de los Estados Unidos de América</v>
          </cell>
        </row>
        <row r="120">
          <cell r="B120" t="str">
            <v>FT-USA1 BE</v>
          </cell>
          <cell r="C120">
            <v>0.52083333333333337</v>
          </cell>
          <cell r="D120" t="str">
            <v>24 hrs</v>
          </cell>
          <cell r="E120" t="str">
            <v>48 hrs</v>
          </cell>
          <cell r="F120" t="str">
            <v>Diario</v>
          </cell>
          <cell r="G120" t="str">
            <v>Personas No sujetas a Retención</v>
          </cell>
          <cell r="H120" t="str">
            <v>Una acción</v>
          </cell>
          <cell r="I120" t="str">
            <v>Largo Plazo</v>
          </cell>
          <cell r="J120" t="str">
            <v>Efectivo</v>
          </cell>
          <cell r="K120">
            <v>4.7999999999999996E-3</v>
          </cell>
          <cell r="M120" t="str">
            <v>Acciones USA</v>
          </cell>
          <cell r="N120" t="str">
            <v>T+1</v>
          </cell>
          <cell r="O120" t="str">
            <v>Especializada en acciones del mercado de los Estados Unidos de América</v>
          </cell>
        </row>
        <row r="121">
          <cell r="B121" t="str">
            <v>FT-EURO BF3</v>
          </cell>
          <cell r="C121">
            <v>0.52083333333333337</v>
          </cell>
          <cell r="D121" t="str">
            <v>24 hrs</v>
          </cell>
          <cell r="E121" t="str">
            <v>48 hrs</v>
          </cell>
          <cell r="F121" t="str">
            <v>Diario</v>
          </cell>
          <cell r="G121" t="str">
            <v>Físicas</v>
          </cell>
          <cell r="H121" t="str">
            <v>Una acción</v>
          </cell>
          <cell r="I121" t="str">
            <v>Largo Plazo</v>
          </cell>
          <cell r="J121" t="str">
            <v>Efectivo</v>
          </cell>
          <cell r="K121">
            <v>1.2500000000000001E-2</v>
          </cell>
          <cell r="M121" t="str">
            <v>Acciones Europa</v>
          </cell>
          <cell r="N121" t="str">
            <v>T+1</v>
          </cell>
          <cell r="O121" t="str">
            <v>Especializado en acciones europeas</v>
          </cell>
        </row>
        <row r="122">
          <cell r="B122" t="str">
            <v>FT-EURO BM2</v>
          </cell>
          <cell r="C122">
            <v>0.52083333333333337</v>
          </cell>
          <cell r="D122" t="str">
            <v>24 hrs</v>
          </cell>
          <cell r="E122" t="str">
            <v>48 hrs</v>
          </cell>
          <cell r="F122" t="str">
            <v>Diario</v>
          </cell>
          <cell r="G122" t="str">
            <v>Morales</v>
          </cell>
          <cell r="H122" t="str">
            <v>Una acción</v>
          </cell>
          <cell r="I122" t="str">
            <v>Largo Plazo</v>
          </cell>
          <cell r="J122" t="str">
            <v>Efectivo</v>
          </cell>
          <cell r="K122">
            <v>1.37E-2</v>
          </cell>
          <cell r="M122" t="str">
            <v>Acciones Europa</v>
          </cell>
          <cell r="N122" t="str">
            <v>T+1</v>
          </cell>
          <cell r="O122" t="str">
            <v>Especializado en acciones europeas</v>
          </cell>
        </row>
        <row r="123">
          <cell r="B123" t="str">
            <v>FT-EURO BE</v>
          </cell>
          <cell r="C123">
            <v>0.52083333333333337</v>
          </cell>
          <cell r="D123" t="str">
            <v>24 hrs</v>
          </cell>
          <cell r="E123" t="str">
            <v>48 hrs</v>
          </cell>
          <cell r="F123" t="str">
            <v>Diario</v>
          </cell>
          <cell r="G123" t="str">
            <v>Personas No sujetas a Retención</v>
          </cell>
          <cell r="H123" t="str">
            <v>Una acción</v>
          </cell>
          <cell r="I123" t="str">
            <v>Largo Plazo</v>
          </cell>
          <cell r="J123" t="str">
            <v>Efectivo</v>
          </cell>
          <cell r="K123">
            <v>4.7999999999999996E-3</v>
          </cell>
          <cell r="M123" t="str">
            <v>Acciones Europa</v>
          </cell>
          <cell r="N123" t="str">
            <v>T+1</v>
          </cell>
          <cell r="O123" t="str">
            <v>Especializado en acciones europeas</v>
          </cell>
        </row>
        <row r="124">
          <cell r="B124" t="str">
            <v>FT-LIQU BF1</v>
          </cell>
          <cell r="C124">
            <v>0.52083333333333337</v>
          </cell>
          <cell r="D124" t="str">
            <v>24 hrs</v>
          </cell>
          <cell r="E124" t="str">
            <v>Mismo día</v>
          </cell>
          <cell r="F124" t="str">
            <v>Diario</v>
          </cell>
          <cell r="G124" t="str">
            <v>Físicas</v>
          </cell>
          <cell r="H124" t="str">
            <v>Una acción</v>
          </cell>
          <cell r="I124" t="str">
            <v>Corto Plazo</v>
          </cell>
          <cell r="J124" t="str">
            <v>Anualizado Compuesto</v>
          </cell>
          <cell r="K124">
            <v>1.5E-3</v>
          </cell>
          <cell r="L124" t="str">
            <v>AAAf/S2 (mex)</v>
          </cell>
          <cell r="M124" t="str">
            <v>Deuda</v>
          </cell>
          <cell r="N124" t="str">
            <v>T+1</v>
          </cell>
          <cell r="O124" t="str">
            <v>Deuda Corto Plazo</v>
          </cell>
        </row>
        <row r="125">
          <cell r="B125" t="str">
            <v>FT-ASIA B2</v>
          </cell>
          <cell r="C125">
            <v>0.52083333333333337</v>
          </cell>
          <cell r="D125" t="str">
            <v>24 hrs</v>
          </cell>
          <cell r="E125" t="str">
            <v>72 hrs</v>
          </cell>
          <cell r="F125" t="str">
            <v>Diario</v>
          </cell>
          <cell r="G125" t="str">
            <v>Físicas, Morales y Morales No Contribuyentes</v>
          </cell>
          <cell r="H125" t="str">
            <v>Una acción</v>
          </cell>
          <cell r="I125" t="str">
            <v>Largo Plazo</v>
          </cell>
          <cell r="J125" t="str">
            <v>Efectivo</v>
          </cell>
          <cell r="K125">
            <v>0.01</v>
          </cell>
          <cell r="M125" t="str">
            <v>Acciones Asiáticas</v>
          </cell>
          <cell r="N125" t="str">
            <v>T+1</v>
          </cell>
          <cell r="O125" t="str">
            <v>Especializada en Acciones  Internacionales RVESACCINT</v>
          </cell>
        </row>
        <row r="126">
          <cell r="B126" t="str">
            <v>FT-BOND BF1</v>
          </cell>
          <cell r="C126">
            <v>0.52083333333333337</v>
          </cell>
          <cell r="D126" t="str">
            <v>24 hrs</v>
          </cell>
          <cell r="E126" t="str">
            <v>48 hrs</v>
          </cell>
          <cell r="F126" t="str">
            <v>Diario</v>
          </cell>
          <cell r="G126" t="str">
            <v>Físicas</v>
          </cell>
          <cell r="H126" t="str">
            <v>Una acción</v>
          </cell>
          <cell r="I126" t="str">
            <v>Largo Plazo</v>
          </cell>
          <cell r="J126" t="str">
            <v>Efectivo</v>
          </cell>
          <cell r="K126">
            <v>9.7000000000000003E-3</v>
          </cell>
          <cell r="M126" t="str">
            <v>Min 80% Deuda en Mon Ext</v>
          </cell>
          <cell r="N126" t="str">
            <v>T+1</v>
          </cell>
          <cell r="O126" t="str">
            <v>Especializada en Deuda</v>
          </cell>
        </row>
        <row r="127">
          <cell r="B127"/>
          <cell r="C127"/>
          <cell r="D127"/>
          <cell r="E127"/>
          <cell r="F127"/>
          <cell r="G127"/>
          <cell r="H127"/>
          <cell r="I127"/>
          <cell r="J127"/>
          <cell r="K127"/>
          <cell r="L127"/>
          <cell r="M127"/>
          <cell r="N127"/>
          <cell r="O127"/>
          <cell r="P127"/>
        </row>
        <row r="128">
          <cell r="B128" t="str">
            <v>MULTIBA</v>
          </cell>
          <cell r="D128"/>
          <cell r="E128"/>
          <cell r="F128"/>
          <cell r="G128">
            <v>0</v>
          </cell>
          <cell r="H128">
            <v>0</v>
          </cell>
          <cell r="I128" t="str">
            <v>Largo Plazo</v>
          </cell>
          <cell r="J128" t="str">
            <v>Efectivo</v>
          </cell>
          <cell r="K128">
            <v>0</v>
          </cell>
          <cell r="L128" t="str">
            <v>No aplica</v>
          </cell>
          <cell r="M128" t="str">
            <v>Fondo de Fondos (20 a 50 RV)</v>
          </cell>
          <cell r="N128" t="str">
            <v>T+1</v>
          </cell>
          <cell r="O128" t="str">
            <v>Mayoritariamente en Valores de Deuda</v>
          </cell>
          <cell r="P128"/>
        </row>
        <row r="129">
          <cell r="B129" t="str">
            <v>MULTIBA A</v>
          </cell>
          <cell r="D129"/>
          <cell r="E129"/>
          <cell r="F129"/>
          <cell r="G129" t="str">
            <v>Capital Fijo</v>
          </cell>
          <cell r="H129">
            <v>0</v>
          </cell>
          <cell r="I129" t="str">
            <v>Largo Plazo</v>
          </cell>
          <cell r="J129" t="str">
            <v>Efectivo</v>
          </cell>
          <cell r="K129">
            <v>2.0799999999999999E-2</v>
          </cell>
          <cell r="L129" t="str">
            <v>No aplica</v>
          </cell>
          <cell r="M129" t="str">
            <v>Fondo de Fondos (20 a 50 RV)</v>
          </cell>
          <cell r="N129" t="str">
            <v>T+1</v>
          </cell>
          <cell r="O129" t="str">
            <v>Mayoritariamente en Valores de Deuda</v>
          </cell>
          <cell r="P129">
            <v>2.1246562470425601E-2</v>
          </cell>
        </row>
        <row r="130">
          <cell r="B130" t="str">
            <v>MULTIBA BE-1</v>
          </cell>
          <cell r="C130">
            <v>0.52083333333333337</v>
          </cell>
          <cell r="D130" t="str">
            <v>24 hrs</v>
          </cell>
          <cell r="E130" t="str">
            <v>48 hrs</v>
          </cell>
          <cell r="F130" t="str">
            <v>Mensual, capturar el último martes de cada mes</v>
          </cell>
          <cell r="G130" t="str">
            <v>Personas morales no sujetas a retención del ISR</v>
          </cell>
          <cell r="H130" t="str">
            <v>Una acción</v>
          </cell>
          <cell r="I130" t="str">
            <v>Largo Plazo</v>
          </cell>
          <cell r="J130" t="str">
            <v>Efectivo</v>
          </cell>
          <cell r="K130">
            <v>1.8200000000000001E-2</v>
          </cell>
          <cell r="L130" t="str">
            <v>No aplica</v>
          </cell>
          <cell r="M130" t="str">
            <v>Fondo de Fondos (20 a 50 RV)</v>
          </cell>
          <cell r="N130" t="str">
            <v>T+1</v>
          </cell>
          <cell r="O130" t="str">
            <v>Mayoritariamente en Valores de Deuda</v>
          </cell>
          <cell r="P130">
            <v>1.8646562470425603E-2</v>
          </cell>
        </row>
        <row r="131">
          <cell r="B131" t="str">
            <v>MULTIBA BE-2</v>
          </cell>
          <cell r="C131">
            <v>0.52083333333333337</v>
          </cell>
          <cell r="D131" t="str">
            <v>24 hrs</v>
          </cell>
          <cell r="E131" t="str">
            <v>48 hrs</v>
          </cell>
          <cell r="F131" t="str">
            <v>Mensual, capturar el último martes de cada mes</v>
          </cell>
          <cell r="G131" t="str">
            <v>Personas morales no sujetas a retención del ISR</v>
          </cell>
          <cell r="H131">
            <v>3000000</v>
          </cell>
          <cell r="I131" t="str">
            <v>Largo Plazo</v>
          </cell>
          <cell r="J131" t="str">
            <v>Efectivo</v>
          </cell>
          <cell r="K131">
            <v>1.5699999999999999E-2</v>
          </cell>
          <cell r="L131" t="str">
            <v>No aplica</v>
          </cell>
          <cell r="M131" t="str">
            <v>Fondo de Fondos (20 a 50 RV)</v>
          </cell>
          <cell r="N131" t="str">
            <v>T+1</v>
          </cell>
          <cell r="O131" t="str">
            <v>Mayoritariamente en Valores de Deuda</v>
          </cell>
          <cell r="P131">
            <v>1.6146562470425601E-2</v>
          </cell>
        </row>
        <row r="132">
          <cell r="B132" t="str">
            <v>MULTIBA BF-H</v>
          </cell>
          <cell r="C132">
            <v>0.52083333333333337</v>
          </cell>
          <cell r="D132" t="str">
            <v>24 hrs</v>
          </cell>
          <cell r="E132" t="str">
            <v>48 hrs</v>
          </cell>
          <cell r="F132" t="str">
            <v>Mensual, capturar el último martes de cada mes</v>
          </cell>
          <cell r="G132" t="str">
            <v>Empleados, directivos, consejeros o jubilados de todas las entidades que formen parte del grupo financiero o empresarial al que pertenece la sociedad operadora.</v>
          </cell>
          <cell r="H132" t="str">
            <v>Una acción</v>
          </cell>
          <cell r="I132" t="str">
            <v>Largo Plazo</v>
          </cell>
          <cell r="J132" t="str">
            <v>Efectivo</v>
          </cell>
          <cell r="K132">
            <v>2.5000000000000001E-3</v>
          </cell>
          <cell r="L132" t="str">
            <v>No aplica</v>
          </cell>
          <cell r="M132" t="str">
            <v>Fondo de Fondos (20 a 50 RV)</v>
          </cell>
          <cell r="N132" t="str">
            <v>T+1</v>
          </cell>
          <cell r="O132" t="str">
            <v>Mayoritariamente en Valores de Deuda</v>
          </cell>
          <cell r="P132">
            <v>2.9465624704256045E-3</v>
          </cell>
        </row>
        <row r="133">
          <cell r="B133" t="str">
            <v>MULTIBA BF-T</v>
          </cell>
          <cell r="C133">
            <v>0.52083333333333337</v>
          </cell>
          <cell r="D133" t="str">
            <v>24 hrs</v>
          </cell>
          <cell r="E133" t="str">
            <v>48 hrs</v>
          </cell>
          <cell r="F133" t="str">
            <v>Mensual, capturar el último martes de cada mes</v>
          </cell>
          <cell r="G133" t="str">
            <v>Personas físicas extranjeras</v>
          </cell>
          <cell r="H133" t="str">
            <v>Una acción</v>
          </cell>
          <cell r="I133" t="str">
            <v>Largo Plazo</v>
          </cell>
          <cell r="J133" t="str">
            <v>Efectivo</v>
          </cell>
          <cell r="K133">
            <v>1.7000000000000001E-2</v>
          </cell>
          <cell r="L133" t="str">
            <v>No aplica</v>
          </cell>
          <cell r="M133" t="str">
            <v>Fondo de Fondos (20 a 50 RV)</v>
          </cell>
          <cell r="N133" t="str">
            <v>T+1</v>
          </cell>
          <cell r="O133" t="str">
            <v>Mayoritariamente en Valores de Deuda</v>
          </cell>
          <cell r="P133">
            <v>1.7446562470425604E-2</v>
          </cell>
        </row>
        <row r="134">
          <cell r="B134" t="str">
            <v>MULTIBA BF-1</v>
          </cell>
          <cell r="C134">
            <v>0.52083333333333337</v>
          </cell>
          <cell r="D134" t="str">
            <v>24 hrs</v>
          </cell>
          <cell r="E134" t="str">
            <v>48 hrs</v>
          </cell>
          <cell r="F134" t="str">
            <v>Mensual, capturar el último martes de cada mes</v>
          </cell>
          <cell r="G134" t="str">
            <v>Personas físicas mexicanas</v>
          </cell>
          <cell r="H134" t="str">
            <v>Una acción</v>
          </cell>
          <cell r="I134" t="str">
            <v>Largo Plazo</v>
          </cell>
          <cell r="J134" t="str">
            <v>Efectivo</v>
          </cell>
          <cell r="K134">
            <v>2.0799999999999999E-2</v>
          </cell>
          <cell r="L134" t="str">
            <v>No aplica</v>
          </cell>
          <cell r="M134" t="str">
            <v>Fondo de Fondos (20 a 50 RV)</v>
          </cell>
          <cell r="N134" t="str">
            <v>T+1</v>
          </cell>
          <cell r="O134" t="str">
            <v>Mayoritariamente en Valores de Deuda</v>
          </cell>
          <cell r="P134">
            <v>2.1246562470425601E-2</v>
          </cell>
        </row>
        <row r="135">
          <cell r="B135" t="str">
            <v>MULTIBA BF-2</v>
          </cell>
          <cell r="C135">
            <v>0.52083333333333337</v>
          </cell>
          <cell r="D135" t="str">
            <v>24 hrs</v>
          </cell>
          <cell r="E135" t="str">
            <v>48 hrs</v>
          </cell>
          <cell r="F135" t="str">
            <v>Mensual, capturar el último martes de cada mes</v>
          </cell>
          <cell r="G135" t="str">
            <v>Personas físicas mexicanas</v>
          </cell>
          <cell r="H135">
            <v>500000</v>
          </cell>
          <cell r="I135" t="str">
            <v>Largo Plazo</v>
          </cell>
          <cell r="J135" t="str">
            <v>Efectivo</v>
          </cell>
          <cell r="K135">
            <v>1.8200000000000001E-2</v>
          </cell>
          <cell r="L135" t="str">
            <v>No aplica</v>
          </cell>
          <cell r="M135" t="str">
            <v>Fondo de Fondos (20 a 50 RV)</v>
          </cell>
          <cell r="N135" t="str">
            <v>T+1</v>
          </cell>
          <cell r="O135" t="str">
            <v>Mayoritariamente en Valores de Deuda</v>
          </cell>
          <cell r="P135">
            <v>1.8646562470425603E-2</v>
          </cell>
        </row>
        <row r="136">
          <cell r="B136" t="str">
            <v>MULTIBA BF-3</v>
          </cell>
          <cell r="C136">
            <v>0.52083333333333337</v>
          </cell>
          <cell r="D136" t="str">
            <v>24 hrs</v>
          </cell>
          <cell r="E136" t="str">
            <v>48 hrs</v>
          </cell>
          <cell r="F136" t="str">
            <v>Mensual, capturar el último martes de cada mes</v>
          </cell>
          <cell r="G136" t="str">
            <v>Personas físicas mexicanas</v>
          </cell>
          <cell r="H136">
            <v>2000000</v>
          </cell>
          <cell r="I136" t="str">
            <v>Largo Plazo</v>
          </cell>
          <cell r="J136" t="str">
            <v>Efectivo</v>
          </cell>
          <cell r="K136">
            <v>1.5699999999999999E-2</v>
          </cell>
          <cell r="L136" t="str">
            <v>No aplica</v>
          </cell>
          <cell r="M136" t="str">
            <v>Fondo de Fondos (20 a 50 RV)</v>
          </cell>
          <cell r="N136" t="str">
            <v>T+1</v>
          </cell>
          <cell r="O136" t="str">
            <v>Mayoritariamente en Valores de Deuda</v>
          </cell>
          <cell r="P136">
            <v>1.6146562470425601E-2</v>
          </cell>
        </row>
        <row r="137">
          <cell r="B137" t="str">
            <v>MULTIBA BM-T</v>
          </cell>
          <cell r="C137">
            <v>0.52083333333333337</v>
          </cell>
          <cell r="D137" t="str">
            <v>24 hrs</v>
          </cell>
          <cell r="E137" t="str">
            <v>48 hrs</v>
          </cell>
          <cell r="F137" t="str">
            <v>Mensual, capturar el último martes de cada mes</v>
          </cell>
          <cell r="G137" t="str">
            <v>Personas morales extranjeras</v>
          </cell>
          <cell r="H137" t="str">
            <v>Una acción</v>
          </cell>
          <cell r="I137" t="str">
            <v>Largo Plazo</v>
          </cell>
          <cell r="J137" t="str">
            <v>Efectivo</v>
          </cell>
          <cell r="K137">
            <v>1.3699999999999999E-2</v>
          </cell>
          <cell r="L137" t="str">
            <v>No aplica</v>
          </cell>
          <cell r="M137" t="str">
            <v>Fondo de Fondos (20 a 50 RV)</v>
          </cell>
          <cell r="N137" t="str">
            <v>T+1</v>
          </cell>
          <cell r="O137" t="str">
            <v>Mayoritariamente en Valores de Deuda</v>
          </cell>
          <cell r="P137">
            <v>1.4146562470425603E-2</v>
          </cell>
        </row>
        <row r="138">
          <cell r="B138" t="str">
            <v>MULTIBA BM-1</v>
          </cell>
          <cell r="C138">
            <v>0.52083333333333337</v>
          </cell>
          <cell r="D138" t="str">
            <v>24 hrs</v>
          </cell>
          <cell r="E138" t="str">
            <v>48 hrs</v>
          </cell>
          <cell r="F138" t="str">
            <v>Mensual, capturar el último martes de cada mes</v>
          </cell>
          <cell r="G138" t="str">
            <v>Personas morales mexicanas</v>
          </cell>
          <cell r="H138" t="str">
            <v>Una acción</v>
          </cell>
          <cell r="I138" t="str">
            <v>Largo Plazo</v>
          </cell>
          <cell r="J138" t="str">
            <v>Efectivo</v>
          </cell>
          <cell r="K138">
            <v>1.7000000000000001E-2</v>
          </cell>
          <cell r="L138" t="str">
            <v>No aplica</v>
          </cell>
          <cell r="M138" t="str">
            <v>Fondo de Fondos (20 a 50 RV)</v>
          </cell>
          <cell r="N138" t="str">
            <v>T+1</v>
          </cell>
          <cell r="O138" t="str">
            <v>Mayoritariamente en Valores de Deuda</v>
          </cell>
          <cell r="P138">
            <v>1.7446562470425604E-2</v>
          </cell>
        </row>
        <row r="139">
          <cell r="B139" t="str">
            <v>MULTIBA BM-2</v>
          </cell>
          <cell r="C139">
            <v>0.52083333333333337</v>
          </cell>
          <cell r="D139" t="str">
            <v>24 hrs</v>
          </cell>
          <cell r="E139" t="str">
            <v>48 hrs</v>
          </cell>
          <cell r="F139" t="str">
            <v>Mensual, capturar el último martes de cada mes</v>
          </cell>
          <cell r="G139" t="str">
            <v>Personas morales mexicanas</v>
          </cell>
          <cell r="H139">
            <v>500000</v>
          </cell>
          <cell r="I139" t="str">
            <v>Largo Plazo</v>
          </cell>
          <cell r="J139" t="str">
            <v>Efectivo</v>
          </cell>
          <cell r="K139">
            <v>1.4800000000000001E-2</v>
          </cell>
          <cell r="L139" t="str">
            <v>No aplica</v>
          </cell>
          <cell r="M139" t="str">
            <v>Fondo de Fondos (20 a 50 RV)</v>
          </cell>
          <cell r="N139" t="str">
            <v>T+1</v>
          </cell>
          <cell r="O139" t="str">
            <v>Mayoritariamente en Valores de Deuda</v>
          </cell>
          <cell r="P139">
            <v>1.5246562470425605E-2</v>
          </cell>
        </row>
        <row r="140">
          <cell r="B140" t="str">
            <v>MULTIBA BM-3</v>
          </cell>
          <cell r="C140">
            <v>0.52083333333333337</v>
          </cell>
          <cell r="D140" t="str">
            <v>24 hrs</v>
          </cell>
          <cell r="E140" t="str">
            <v>48 hrs</v>
          </cell>
          <cell r="F140" t="str">
            <v>Mensual, capturar el último martes de cada mes</v>
          </cell>
          <cell r="G140" t="str">
            <v>Personas morales mexicanas</v>
          </cell>
          <cell r="H140">
            <v>2000000</v>
          </cell>
          <cell r="I140" t="str">
            <v>Largo Plazo</v>
          </cell>
          <cell r="J140" t="str">
            <v>Efectivo</v>
          </cell>
          <cell r="K140">
            <v>1.26E-2</v>
          </cell>
          <cell r="L140" t="str">
            <v>No aplica</v>
          </cell>
          <cell r="M140" t="str">
            <v>Fondo de Fondos (20 a 50 RV)</v>
          </cell>
          <cell r="N140" t="str">
            <v>T+1</v>
          </cell>
          <cell r="O140" t="str">
            <v>Mayoritariamente en Valores de Deuda</v>
          </cell>
          <cell r="P140">
            <v>1.3046562470425604E-2</v>
          </cell>
        </row>
        <row r="141">
          <cell r="B141"/>
          <cell r="C141"/>
          <cell r="D141"/>
          <cell r="E141"/>
          <cell r="F141"/>
          <cell r="G141"/>
          <cell r="H141"/>
          <cell r="I141"/>
          <cell r="J141"/>
          <cell r="K141"/>
          <cell r="L141"/>
          <cell r="M141"/>
          <cell r="N141"/>
          <cell r="O141"/>
          <cell r="P141"/>
        </row>
        <row r="142">
          <cell r="B142" t="str">
            <v>MULTIFA</v>
          </cell>
          <cell r="C142"/>
          <cell r="D142"/>
          <cell r="E142"/>
          <cell r="F142"/>
          <cell r="G142">
            <v>0</v>
          </cell>
          <cell r="H142">
            <v>0</v>
          </cell>
          <cell r="I142" t="str">
            <v>Largo Plazo</v>
          </cell>
          <cell r="J142" t="str">
            <v>Efectivo</v>
          </cell>
          <cell r="K142">
            <v>0</v>
          </cell>
          <cell r="L142" t="str">
            <v>No aplica</v>
          </cell>
          <cell r="M142" t="str">
            <v>Fondo de Fondos (50 a 80 RV)</v>
          </cell>
          <cell r="N142" t="str">
            <v>T+1</v>
          </cell>
          <cell r="O142" t="str">
            <v>Mayoritariamente en Renta Variable</v>
          </cell>
          <cell r="P142"/>
        </row>
        <row r="143">
          <cell r="B143" t="str">
            <v>MULTIFA A</v>
          </cell>
          <cell r="C143"/>
          <cell r="D143"/>
          <cell r="E143"/>
          <cell r="F143"/>
          <cell r="G143" t="str">
            <v>Capital Fijo</v>
          </cell>
          <cell r="H143">
            <v>0</v>
          </cell>
          <cell r="I143" t="str">
            <v>Largo Plazo</v>
          </cell>
          <cell r="J143" t="str">
            <v>Efectivo</v>
          </cell>
          <cell r="K143">
            <v>1.8600000000000002E-2</v>
          </cell>
          <cell r="L143" t="str">
            <v>No aplica</v>
          </cell>
          <cell r="M143" t="str">
            <v>Fondo de Fondos (50 a 80 RV)</v>
          </cell>
          <cell r="N143" t="str">
            <v>T+1</v>
          </cell>
          <cell r="O143" t="str">
            <v>Mayoritariamente en Renta Variable</v>
          </cell>
          <cell r="P143">
            <v>1.9075668418242715E-2</v>
          </cell>
        </row>
        <row r="144">
          <cell r="B144" t="str">
            <v>MULTIFA BE-1</v>
          </cell>
          <cell r="C144">
            <v>0.52083333333333337</v>
          </cell>
          <cell r="D144" t="str">
            <v>24 hrs</v>
          </cell>
          <cell r="E144" t="str">
            <v>48 hrs</v>
          </cell>
          <cell r="F144" t="str">
            <v>Mensual, capturar el último martes de cada mes</v>
          </cell>
          <cell r="G144" t="str">
            <v>Personas morales no sujetas a retención del ISR</v>
          </cell>
          <cell r="H144" t="str">
            <v>Una acción</v>
          </cell>
          <cell r="I144" t="str">
            <v>Largo Plazo</v>
          </cell>
          <cell r="J144" t="str">
            <v>Efectivo</v>
          </cell>
          <cell r="K144">
            <v>1.6E-2</v>
          </cell>
          <cell r="L144" t="str">
            <v>No aplica</v>
          </cell>
          <cell r="M144" t="str">
            <v>Fondo de Fondos (50 a 80 RV)</v>
          </cell>
          <cell r="N144" t="str">
            <v>T+1</v>
          </cell>
          <cell r="O144" t="str">
            <v>Mayoritariamente en Renta Variable</v>
          </cell>
          <cell r="P144">
            <v>1.6475668418242714E-2</v>
          </cell>
        </row>
        <row r="145">
          <cell r="B145" t="str">
            <v>MULTIFA BE-2</v>
          </cell>
          <cell r="C145">
            <v>0.52083333333333337</v>
          </cell>
          <cell r="D145" t="str">
            <v>24 hrs</v>
          </cell>
          <cell r="E145" t="str">
            <v>48 hrs</v>
          </cell>
          <cell r="F145" t="str">
            <v>Mensual, capturar el último martes de cada mes</v>
          </cell>
          <cell r="G145" t="str">
            <v>Personas morales no sujetas a retención del ISR</v>
          </cell>
          <cell r="H145">
            <v>3000000</v>
          </cell>
          <cell r="I145" t="str">
            <v>Largo Plazo</v>
          </cell>
          <cell r="J145" t="str">
            <v>Efectivo</v>
          </cell>
          <cell r="K145">
            <v>1.3399999999999999E-2</v>
          </cell>
          <cell r="L145" t="str">
            <v>No aplica</v>
          </cell>
          <cell r="M145" t="str">
            <v>Fondo de Fondos (50 a 80 RV)</v>
          </cell>
          <cell r="N145" t="str">
            <v>T+1</v>
          </cell>
          <cell r="O145" t="str">
            <v>Mayoritariamente en Renta Variable</v>
          </cell>
          <cell r="P145">
            <v>1.3875668418242714E-2</v>
          </cell>
        </row>
        <row r="146">
          <cell r="B146" t="str">
            <v>MULTIFA BF-H</v>
          </cell>
          <cell r="C146">
            <v>0.52083333333333337</v>
          </cell>
          <cell r="D146" t="str">
            <v>24 hrs</v>
          </cell>
          <cell r="E146" t="str">
            <v>48 hrs</v>
          </cell>
          <cell r="F146" t="str">
            <v>Mensual, capturar el último martes de cada mes</v>
          </cell>
          <cell r="G146" t="str">
            <v>Empleados, directivos, consejeros o jubilados de todas las entidades que formen parte del grupo financiero o empresarial al que pertenece la sociedad operadora.</v>
          </cell>
          <cell r="H146" t="str">
            <v>Una acción</v>
          </cell>
          <cell r="I146" t="str">
            <v>Largo Plazo</v>
          </cell>
          <cell r="J146" t="str">
            <v>Efectivo</v>
          </cell>
          <cell r="K146">
            <v>2.5000000000000001E-3</v>
          </cell>
          <cell r="L146" t="str">
            <v>No aplica</v>
          </cell>
          <cell r="M146" t="str">
            <v>Fondo de Fondos (50 a 80 RV)</v>
          </cell>
          <cell r="N146" t="str">
            <v>T+1</v>
          </cell>
          <cell r="O146" t="str">
            <v>Mayoritariamente en Renta Variable</v>
          </cell>
          <cell r="P146">
            <v>2.9756684182427142E-3</v>
          </cell>
        </row>
        <row r="147">
          <cell r="B147" t="str">
            <v>MULTIFA BF-T</v>
          </cell>
          <cell r="C147">
            <v>0.52083333333333337</v>
          </cell>
          <cell r="D147" t="str">
            <v>24 hrs</v>
          </cell>
          <cell r="E147" t="str">
            <v>48 hrs</v>
          </cell>
          <cell r="F147" t="str">
            <v>Mensual, capturar el último martes de cada mes</v>
          </cell>
          <cell r="G147" t="str">
            <v>Personas físicas extranjeras</v>
          </cell>
          <cell r="H147" t="str">
            <v>Una acción</v>
          </cell>
          <cell r="I147" t="str">
            <v>Largo Plazo</v>
          </cell>
          <cell r="J147" t="str">
            <v>Efectivo</v>
          </cell>
          <cell r="K147">
            <v>1.4700000000000001E-2</v>
          </cell>
          <cell r="L147" t="str">
            <v>No aplica</v>
          </cell>
          <cell r="M147" t="str">
            <v>Fondo de Fondos (50 a 80 RV)</v>
          </cell>
          <cell r="N147" t="str">
            <v>T+1</v>
          </cell>
          <cell r="O147" t="str">
            <v>Mayoritariamente en Renta Variable</v>
          </cell>
          <cell r="P147">
            <v>1.5175668418242716E-2</v>
          </cell>
        </row>
        <row r="148">
          <cell r="B148" t="str">
            <v>MULTIFA BF-1</v>
          </cell>
          <cell r="C148">
            <v>0.52083333333333337</v>
          </cell>
          <cell r="D148" t="str">
            <v>24 hrs</v>
          </cell>
          <cell r="E148" t="str">
            <v>48 hrs</v>
          </cell>
          <cell r="F148" t="str">
            <v>Mensual, capturar el último martes de cada mes</v>
          </cell>
          <cell r="G148" t="str">
            <v>Personas físicas mexicanas</v>
          </cell>
          <cell r="H148" t="str">
            <v>Una acción</v>
          </cell>
          <cell r="I148" t="str">
            <v>Largo Plazo</v>
          </cell>
          <cell r="J148" t="str">
            <v>Efectivo</v>
          </cell>
          <cell r="K148">
            <v>1.8600000000000002E-2</v>
          </cell>
          <cell r="L148" t="str">
            <v>No aplica</v>
          </cell>
          <cell r="M148" t="str">
            <v>Fondo de Fondos (50 a 80 RV)</v>
          </cell>
          <cell r="N148" t="str">
            <v>T+1</v>
          </cell>
          <cell r="O148" t="str">
            <v>Mayoritariamente en Renta Variable</v>
          </cell>
          <cell r="P148">
            <v>1.9075668418242715E-2</v>
          </cell>
        </row>
        <row r="149">
          <cell r="B149" t="str">
            <v>MULTIFA BF-2</v>
          </cell>
          <cell r="C149">
            <v>0.52083333333333337</v>
          </cell>
          <cell r="D149" t="str">
            <v>24 hrs</v>
          </cell>
          <cell r="E149" t="str">
            <v>48 hrs</v>
          </cell>
          <cell r="F149" t="str">
            <v>Mensual, capturar el último martes de cada mes</v>
          </cell>
          <cell r="G149" t="str">
            <v>Personas físicas mexicanas</v>
          </cell>
          <cell r="H149">
            <v>500000</v>
          </cell>
          <cell r="I149" t="str">
            <v>Largo Plazo</v>
          </cell>
          <cell r="J149" t="str">
            <v>Efectivo</v>
          </cell>
          <cell r="K149">
            <v>1.6E-2</v>
          </cell>
          <cell r="L149" t="str">
            <v>No aplica</v>
          </cell>
          <cell r="M149" t="str">
            <v>Fondo de Fondos (50 a 80 RV)</v>
          </cell>
          <cell r="N149" t="str">
            <v>T+1</v>
          </cell>
          <cell r="O149" t="str">
            <v>Mayoritariamente en Renta Variable</v>
          </cell>
          <cell r="P149">
            <v>1.6475668418242714E-2</v>
          </cell>
        </row>
        <row r="150">
          <cell r="B150" t="str">
            <v>MULTIFA BF-3</v>
          </cell>
          <cell r="C150">
            <v>0.52083333333333337</v>
          </cell>
          <cell r="D150" t="str">
            <v>24 hrs</v>
          </cell>
          <cell r="E150" t="str">
            <v>48 hrs</v>
          </cell>
          <cell r="F150" t="str">
            <v>Mensual, capturar el último martes de cada mes</v>
          </cell>
          <cell r="G150" t="str">
            <v>Personas físicas mexicanas</v>
          </cell>
          <cell r="H150">
            <v>2000000</v>
          </cell>
          <cell r="I150" t="str">
            <v>Largo Plazo</v>
          </cell>
          <cell r="J150" t="str">
            <v>Efectivo</v>
          </cell>
          <cell r="K150">
            <v>1.3399999999999999E-2</v>
          </cell>
          <cell r="L150" t="str">
            <v>No aplica</v>
          </cell>
          <cell r="M150" t="str">
            <v>Fondo de Fondos (50 a 80 RV)</v>
          </cell>
          <cell r="N150" t="str">
            <v>T+1</v>
          </cell>
          <cell r="O150" t="str">
            <v>Mayoritariamente en Renta Variable</v>
          </cell>
          <cell r="P150">
            <v>1.3875668418242714E-2</v>
          </cell>
        </row>
        <row r="151">
          <cell r="B151" t="str">
            <v>MULTIFA BM-T</v>
          </cell>
          <cell r="C151">
            <v>0.52083333333333337</v>
          </cell>
          <cell r="D151" t="str">
            <v>24 hrs</v>
          </cell>
          <cell r="E151" t="str">
            <v>48 hrs</v>
          </cell>
          <cell r="F151" t="str">
            <v>Mensual, capturar el último martes de cada mes</v>
          </cell>
          <cell r="G151" t="str">
            <v>Personas morales extranjeras</v>
          </cell>
          <cell r="H151" t="str">
            <v>Una acción</v>
          </cell>
          <cell r="I151" t="str">
            <v>Largo Plazo</v>
          </cell>
          <cell r="J151" t="str">
            <v>Efectivo</v>
          </cell>
          <cell r="K151">
            <v>1.14E-2</v>
          </cell>
          <cell r="L151" t="str">
            <v>No aplica</v>
          </cell>
          <cell r="M151" t="str">
            <v>Fondo de Fondos (50 a 80 RV)</v>
          </cell>
          <cell r="N151" t="str">
            <v>T+1</v>
          </cell>
          <cell r="O151" t="str">
            <v>Mayoritariamente en Renta Variable</v>
          </cell>
          <cell r="P151">
            <v>1.1875668418242715E-2</v>
          </cell>
        </row>
        <row r="152">
          <cell r="B152" t="str">
            <v>MULTIFA BM-1</v>
          </cell>
          <cell r="C152">
            <v>0.52083333333333337</v>
          </cell>
          <cell r="D152" t="str">
            <v>24 hrs</v>
          </cell>
          <cell r="E152" t="str">
            <v>48 hrs</v>
          </cell>
          <cell r="F152" t="str">
            <v>Mensual, capturar el último martes de cada mes</v>
          </cell>
          <cell r="G152" t="str">
            <v>Personas morales mexicanas</v>
          </cell>
          <cell r="H152" t="str">
            <v>Una acción</v>
          </cell>
          <cell r="I152" t="str">
            <v>Largo Plazo</v>
          </cell>
          <cell r="J152" t="str">
            <v>Efectivo</v>
          </cell>
          <cell r="K152">
            <v>1.4700000000000001E-2</v>
          </cell>
          <cell r="L152" t="str">
            <v>No aplica</v>
          </cell>
          <cell r="M152" t="str">
            <v>Fondo de Fondos (50 a 80 RV)</v>
          </cell>
          <cell r="N152" t="str">
            <v>T+1</v>
          </cell>
          <cell r="O152" t="str">
            <v>Mayoritariamente en Renta Variable</v>
          </cell>
          <cell r="P152">
            <v>1.5175668418242716E-2</v>
          </cell>
        </row>
        <row r="153">
          <cell r="B153" t="str">
            <v>MULTIFA BM-2</v>
          </cell>
          <cell r="C153">
            <v>0.52083333333333337</v>
          </cell>
          <cell r="D153" t="str">
            <v>24 hrs</v>
          </cell>
          <cell r="E153" t="str">
            <v>48 hrs</v>
          </cell>
          <cell r="F153" t="str">
            <v>Mensual, capturar el último martes de cada mes</v>
          </cell>
          <cell r="G153" t="str">
            <v>Personas morales mexicanas</v>
          </cell>
          <cell r="H153">
            <v>500000</v>
          </cell>
          <cell r="I153" t="str">
            <v>Largo Plazo</v>
          </cell>
          <cell r="J153" t="str">
            <v>Efectivo</v>
          </cell>
          <cell r="K153">
            <v>1.2500000000000001E-2</v>
          </cell>
          <cell r="L153" t="str">
            <v>No aplica</v>
          </cell>
          <cell r="M153" t="str">
            <v>Fondo de Fondos (50 a 80 RV)</v>
          </cell>
          <cell r="N153" t="str">
            <v>T+1</v>
          </cell>
          <cell r="O153" t="str">
            <v>Mayoritariamente en Renta Variable</v>
          </cell>
          <cell r="P153">
            <v>1.2975668418242716E-2</v>
          </cell>
        </row>
        <row r="154">
          <cell r="B154" t="str">
            <v>MULTIFA BM-3</v>
          </cell>
          <cell r="C154">
            <v>0.52083333333333337</v>
          </cell>
          <cell r="D154" t="str">
            <v>24 hrs</v>
          </cell>
          <cell r="E154" t="str">
            <v>48 hrs</v>
          </cell>
          <cell r="F154" t="str">
            <v>Mensual, capturar el último martes de cada mes</v>
          </cell>
          <cell r="G154" t="str">
            <v>Personas morales mexicanas</v>
          </cell>
          <cell r="H154">
            <v>2000000</v>
          </cell>
          <cell r="I154" t="str">
            <v>Largo Plazo</v>
          </cell>
          <cell r="J154" t="str">
            <v>Efectivo</v>
          </cell>
          <cell r="K154">
            <v>1.03E-2</v>
          </cell>
          <cell r="L154" t="str">
            <v>No aplica</v>
          </cell>
          <cell r="M154" t="str">
            <v>Fondo de Fondos (50 a 80 RV)</v>
          </cell>
          <cell r="N154" t="str">
            <v>T+1</v>
          </cell>
          <cell r="O154" t="str">
            <v>Mayoritariamente en Renta Variable</v>
          </cell>
          <cell r="P154">
            <v>1.0775668418242715E-2</v>
          </cell>
        </row>
        <row r="155">
          <cell r="B155"/>
          <cell r="C155"/>
          <cell r="D155"/>
          <cell r="E155"/>
          <cell r="F155"/>
          <cell r="G155"/>
          <cell r="H155"/>
          <cell r="I155"/>
          <cell r="J155"/>
          <cell r="K155"/>
          <cell r="L155"/>
          <cell r="M155"/>
          <cell r="N155"/>
          <cell r="O155"/>
          <cell r="P155"/>
        </row>
        <row r="156">
          <cell r="B156" t="str">
            <v>MULTIED</v>
          </cell>
          <cell r="C156"/>
          <cell r="D156"/>
          <cell r="E156"/>
          <cell r="F156"/>
          <cell r="G156">
            <v>0</v>
          </cell>
          <cell r="H156">
            <v>0</v>
          </cell>
          <cell r="I156" t="str">
            <v>Corto Plazo</v>
          </cell>
          <cell r="J156" t="str">
            <v>Efectivo</v>
          </cell>
          <cell r="K156">
            <v>0</v>
          </cell>
          <cell r="L156" t="str">
            <v>No aplica</v>
          </cell>
          <cell r="M156" t="str">
            <v>Fondo de Fondos (50 a 80 RV)</v>
          </cell>
          <cell r="N156" t="str">
            <v>T+1</v>
          </cell>
          <cell r="O156" t="str">
            <v>Mayoritariamente en Renta Variable</v>
          </cell>
          <cell r="P156"/>
        </row>
        <row r="157">
          <cell r="B157" t="str">
            <v>MULTIED A</v>
          </cell>
          <cell r="C157"/>
          <cell r="D157"/>
          <cell r="E157"/>
          <cell r="F157"/>
          <cell r="G157" t="str">
            <v>Capital Fijo</v>
          </cell>
          <cell r="H157">
            <v>0</v>
          </cell>
          <cell r="I157" t="str">
            <v>Corto Plazo</v>
          </cell>
          <cell r="J157" t="str">
            <v>Efectivo</v>
          </cell>
          <cell r="K157">
            <v>1.89E-2</v>
          </cell>
          <cell r="L157" t="str">
            <v>No aplica</v>
          </cell>
          <cell r="M157" t="str">
            <v>Fondo de Fondos (50 a 80 RV)</v>
          </cell>
          <cell r="N157" t="str">
            <v>T+1</v>
          </cell>
          <cell r="O157" t="str">
            <v>Mayoritariamente en Renta Variable</v>
          </cell>
          <cell r="P157">
            <v>1.967862063975066E-2</v>
          </cell>
        </row>
        <row r="158">
          <cell r="B158" t="str">
            <v>MULTIED BE-1</v>
          </cell>
          <cell r="C158">
            <v>0.52083333333333337</v>
          </cell>
          <cell r="D158" t="str">
            <v>24 hrs</v>
          </cell>
          <cell r="E158" t="str">
            <v>48 hrs</v>
          </cell>
          <cell r="F158" t="str">
            <v>Diario</v>
          </cell>
          <cell r="G158" t="str">
            <v>Personas morales no sujetas a retención del ISR</v>
          </cell>
          <cell r="H158" t="str">
            <v>Una acción</v>
          </cell>
          <cell r="I158" t="str">
            <v>Corto Plazo</v>
          </cell>
          <cell r="J158" t="str">
            <v>Efectivo</v>
          </cell>
          <cell r="K158">
            <v>1.6299999999999999E-2</v>
          </cell>
          <cell r="L158" t="str">
            <v>No aplica</v>
          </cell>
          <cell r="M158" t="str">
            <v>Fondo de Fondos (50 a 80 RV)</v>
          </cell>
          <cell r="N158" t="str">
            <v>T+1</v>
          </cell>
          <cell r="O158" t="str">
            <v>Mayoritariamente en Renta Variable</v>
          </cell>
          <cell r="P158">
            <v>1.7078620639750658E-2</v>
          </cell>
        </row>
        <row r="159">
          <cell r="B159" t="str">
            <v>MULTIED BE-2</v>
          </cell>
          <cell r="C159">
            <v>0.52083333333333337</v>
          </cell>
          <cell r="D159" t="str">
            <v>24 hrs</v>
          </cell>
          <cell r="E159" t="str">
            <v>48 hrs</v>
          </cell>
          <cell r="F159" t="str">
            <v>Diario</v>
          </cell>
          <cell r="G159" t="str">
            <v>Personas morales no sujetas a retención del ISR</v>
          </cell>
          <cell r="H159">
            <v>3000000</v>
          </cell>
          <cell r="I159" t="str">
            <v>Corto Plazo</v>
          </cell>
          <cell r="J159" t="str">
            <v>Efectivo</v>
          </cell>
          <cell r="K159">
            <v>1.38E-2</v>
          </cell>
          <cell r="L159" t="str">
            <v>No aplica</v>
          </cell>
          <cell r="M159" t="str">
            <v>Fondo de Fondos (50 a 80 RV)</v>
          </cell>
          <cell r="N159" t="str">
            <v>T+1</v>
          </cell>
          <cell r="O159" t="str">
            <v>Mayoritariamente en Renta Variable</v>
          </cell>
          <cell r="P159">
            <v>1.4578620639750657E-2</v>
          </cell>
        </row>
        <row r="160">
          <cell r="B160" t="str">
            <v>MULTIED BF-H</v>
          </cell>
          <cell r="C160">
            <v>0.52083333333333337</v>
          </cell>
          <cell r="D160" t="str">
            <v>24 hrs</v>
          </cell>
          <cell r="E160" t="str">
            <v>48 hrs</v>
          </cell>
          <cell r="F160" t="str">
            <v>Diario</v>
          </cell>
          <cell r="G160" t="str">
            <v>Empleados, directivos, consejeros o jubilados de todas las entidades que formen parte del grupo financiero o empresarial al que pertenece la sociedad operadora.</v>
          </cell>
          <cell r="H160" t="str">
            <v>Una acción</v>
          </cell>
          <cell r="I160" t="str">
            <v>Corto Plazo</v>
          </cell>
          <cell r="J160" t="str">
            <v>Efectivo</v>
          </cell>
          <cell r="K160">
            <v>2.5000000000000001E-3</v>
          </cell>
          <cell r="L160" t="str">
            <v>No aplica</v>
          </cell>
          <cell r="M160" t="str">
            <v>Fondo de Fondos (50 a 80 RV)</v>
          </cell>
          <cell r="N160" t="str">
            <v>T+1</v>
          </cell>
          <cell r="O160" t="str">
            <v>Mayoritariamente en Renta Variable</v>
          </cell>
          <cell r="P160">
            <v>3.2786206397506582E-3</v>
          </cell>
        </row>
        <row r="161">
          <cell r="B161" t="str">
            <v>MULTIED BF-T</v>
          </cell>
          <cell r="C161">
            <v>0.52083333333333337</v>
          </cell>
          <cell r="D161" t="str">
            <v>24 hrs</v>
          </cell>
          <cell r="E161" t="str">
            <v>48 hrs</v>
          </cell>
          <cell r="F161" t="str">
            <v>Diario</v>
          </cell>
          <cell r="G161" t="str">
            <v>Personas físicas extranjeras</v>
          </cell>
          <cell r="H161" t="str">
            <v>Una acción</v>
          </cell>
          <cell r="I161" t="str">
            <v>Corto Plazo</v>
          </cell>
          <cell r="J161" t="str">
            <v>Efectivo</v>
          </cell>
          <cell r="K161">
            <v>1.5000000000000001E-2</v>
          </cell>
          <cell r="L161" t="str">
            <v>No aplica</v>
          </cell>
          <cell r="M161" t="str">
            <v>Fondo de Fondos (50 a 80 RV)</v>
          </cell>
          <cell r="N161" t="str">
            <v>T+1</v>
          </cell>
          <cell r="O161" t="str">
            <v>Mayoritariamente en Renta Variable</v>
          </cell>
          <cell r="P161">
            <v>1.5778620639750659E-2</v>
          </cell>
        </row>
        <row r="162">
          <cell r="B162" t="str">
            <v>MULTIED BF-1</v>
          </cell>
          <cell r="C162">
            <v>0.52083333333333337</v>
          </cell>
          <cell r="D162" t="str">
            <v>24 hrs</v>
          </cell>
          <cell r="E162" t="str">
            <v>48 hrs</v>
          </cell>
          <cell r="F162" t="str">
            <v>Diario</v>
          </cell>
          <cell r="G162" t="str">
            <v>Personas físicas mexicanas</v>
          </cell>
          <cell r="H162" t="str">
            <v>Una acción</v>
          </cell>
          <cell r="I162" t="str">
            <v>Corto Plazo</v>
          </cell>
          <cell r="J162" t="str">
            <v>Efectivo</v>
          </cell>
          <cell r="K162">
            <v>1.89E-2</v>
          </cell>
          <cell r="L162" t="str">
            <v>No aplica</v>
          </cell>
          <cell r="M162" t="str">
            <v>Fondo de Fondos (50 a 80 RV)</v>
          </cell>
          <cell r="N162" t="str">
            <v>T+1</v>
          </cell>
          <cell r="O162" t="str">
            <v>Mayoritariamente en Renta Variable</v>
          </cell>
          <cell r="P162">
            <v>1.967862063975066E-2</v>
          </cell>
        </row>
        <row r="163">
          <cell r="B163" t="str">
            <v>MULTIED BF-2</v>
          </cell>
          <cell r="C163">
            <v>0.52083333333333337</v>
          </cell>
          <cell r="D163" t="str">
            <v>24 hrs</v>
          </cell>
          <cell r="E163" t="str">
            <v>48 hrs</v>
          </cell>
          <cell r="F163" t="str">
            <v>Diario</v>
          </cell>
          <cell r="G163" t="str">
            <v>Personas físicas mexicanas</v>
          </cell>
          <cell r="H163">
            <v>500000</v>
          </cell>
          <cell r="I163" t="str">
            <v>Corto Plazo</v>
          </cell>
          <cell r="J163" t="str">
            <v>Efectivo</v>
          </cell>
          <cell r="K163">
            <v>1.6299999999999999E-2</v>
          </cell>
          <cell r="L163" t="str">
            <v>No aplica</v>
          </cell>
          <cell r="M163" t="str">
            <v>Fondo de Fondos (50 a 80 RV)</v>
          </cell>
          <cell r="N163" t="str">
            <v>T+1</v>
          </cell>
          <cell r="O163" t="str">
            <v>Mayoritariamente en Renta Variable</v>
          </cell>
          <cell r="P163">
            <v>1.7078620639750658E-2</v>
          </cell>
        </row>
        <row r="164">
          <cell r="B164" t="str">
            <v>MULTIED BF-3</v>
          </cell>
          <cell r="C164">
            <v>0.52083333333333337</v>
          </cell>
          <cell r="D164" t="str">
            <v>24 hrs</v>
          </cell>
          <cell r="E164" t="str">
            <v>48 hrs</v>
          </cell>
          <cell r="F164" t="str">
            <v>Diario</v>
          </cell>
          <cell r="G164" t="str">
            <v>Personas físicas mexicanas</v>
          </cell>
          <cell r="H164">
            <v>2000000</v>
          </cell>
          <cell r="I164" t="str">
            <v>Corto Plazo</v>
          </cell>
          <cell r="J164" t="str">
            <v>Efectivo</v>
          </cell>
          <cell r="K164">
            <v>1.38E-2</v>
          </cell>
          <cell r="L164" t="str">
            <v>No aplica</v>
          </cell>
          <cell r="M164" t="str">
            <v>Fondo de Fondos (50 a 80 RV)</v>
          </cell>
          <cell r="N164" t="str">
            <v>T+1</v>
          </cell>
          <cell r="O164" t="str">
            <v>Mayoritariamente en Renta Variable</v>
          </cell>
          <cell r="P164">
            <v>1.4578620639750657E-2</v>
          </cell>
        </row>
        <row r="165">
          <cell r="B165" t="str">
            <v>MULTIED BM-T</v>
          </cell>
          <cell r="C165">
            <v>0.52083333333333337</v>
          </cell>
          <cell r="D165" t="str">
            <v>24 hrs</v>
          </cell>
          <cell r="E165" t="str">
            <v>48 hrs</v>
          </cell>
          <cell r="F165" t="str">
            <v>Diario</v>
          </cell>
          <cell r="G165" t="str">
            <v>Personas morales extranjeras</v>
          </cell>
          <cell r="H165" t="str">
            <v>Una acción</v>
          </cell>
          <cell r="I165" t="str">
            <v>Corto Plazo</v>
          </cell>
          <cell r="J165" t="str">
            <v>Efectivo</v>
          </cell>
          <cell r="K165">
            <v>1.18E-2</v>
          </cell>
          <cell r="L165" t="str">
            <v>No aplica</v>
          </cell>
          <cell r="M165" t="str">
            <v>Fondo de Fondos (50 a 80 RV)</v>
          </cell>
          <cell r="N165" t="str">
            <v>T+1</v>
          </cell>
          <cell r="O165" t="str">
            <v>Mayoritariamente en Renta Variable</v>
          </cell>
          <cell r="P165">
            <v>1.2578620639750657E-2</v>
          </cell>
        </row>
        <row r="166">
          <cell r="B166" t="str">
            <v>MULTIED BM-1</v>
          </cell>
          <cell r="C166">
            <v>0.52083333333333337</v>
          </cell>
          <cell r="D166" t="str">
            <v>24 hrs</v>
          </cell>
          <cell r="E166" t="str">
            <v>48 hrs</v>
          </cell>
          <cell r="F166" t="str">
            <v>Diario</v>
          </cell>
          <cell r="G166" t="str">
            <v>Personas morales mexicanas</v>
          </cell>
          <cell r="H166" t="str">
            <v>Una acción</v>
          </cell>
          <cell r="I166" t="str">
            <v>Corto Plazo</v>
          </cell>
          <cell r="J166" t="str">
            <v>Efectivo</v>
          </cell>
          <cell r="K166">
            <v>1.5000000000000001E-2</v>
          </cell>
          <cell r="L166" t="str">
            <v>No aplica</v>
          </cell>
          <cell r="M166" t="str">
            <v>Fondo de Fondos (50 a 80 RV)</v>
          </cell>
          <cell r="N166" t="str">
            <v>T+1</v>
          </cell>
          <cell r="O166" t="str">
            <v>Mayoritariamente en Renta Variable</v>
          </cell>
          <cell r="P166">
            <v>1.5778620639750659E-2</v>
          </cell>
        </row>
        <row r="167">
          <cell r="B167" t="str">
            <v>MULTIED BM-2</v>
          </cell>
          <cell r="C167">
            <v>0.52083333333333337</v>
          </cell>
          <cell r="D167" t="str">
            <v>24 hrs</v>
          </cell>
          <cell r="E167" t="str">
            <v>48 hrs</v>
          </cell>
          <cell r="F167" t="str">
            <v>Diario</v>
          </cell>
          <cell r="G167" t="str">
            <v>Personas morales mexicanas</v>
          </cell>
          <cell r="H167">
            <v>500000</v>
          </cell>
          <cell r="I167" t="str">
            <v>Corto Plazo</v>
          </cell>
          <cell r="J167" t="str">
            <v>Efectivo</v>
          </cell>
          <cell r="K167">
            <v>1.2900000000000002E-2</v>
          </cell>
          <cell r="L167" t="str">
            <v>No aplica</v>
          </cell>
          <cell r="M167" t="str">
            <v>Fondo de Fondos (50 a 80 RV)</v>
          </cell>
          <cell r="N167" t="str">
            <v>T+1</v>
          </cell>
          <cell r="O167" t="str">
            <v>Mayoritariamente en Renta Variable</v>
          </cell>
          <cell r="P167">
            <v>1.3678620639750659E-2</v>
          </cell>
        </row>
        <row r="168">
          <cell r="B168" t="str">
            <v>MULTIED BM-3</v>
          </cell>
          <cell r="C168">
            <v>0.52083333333333337</v>
          </cell>
          <cell r="D168" t="str">
            <v>24 hrs</v>
          </cell>
          <cell r="E168" t="str">
            <v>48 hrs</v>
          </cell>
          <cell r="F168" t="str">
            <v>Diario</v>
          </cell>
          <cell r="G168" t="str">
            <v>Personas morales mexicanas</v>
          </cell>
          <cell r="H168">
            <v>2000000</v>
          </cell>
          <cell r="I168" t="str">
            <v>Corto Plazo</v>
          </cell>
          <cell r="J168" t="str">
            <v>Efectivo</v>
          </cell>
          <cell r="K168">
            <v>1.0699999999999999E-2</v>
          </cell>
          <cell r="L168" t="str">
            <v>No aplica</v>
          </cell>
          <cell r="M168" t="str">
            <v>Fondo de Fondos (50 a 80 RV)</v>
          </cell>
          <cell r="N168" t="str">
            <v>T+1</v>
          </cell>
          <cell r="O168" t="str">
            <v>Mayoritariamente en Renta Variable</v>
          </cell>
          <cell r="P168">
            <v>1.1478620639750657E-2</v>
          </cell>
        </row>
        <row r="169">
          <cell r="B169"/>
          <cell r="C169"/>
          <cell r="D169"/>
          <cell r="E169"/>
          <cell r="F169"/>
          <cell r="G169"/>
          <cell r="H169"/>
          <cell r="I169"/>
          <cell r="J169"/>
          <cell r="K169"/>
          <cell r="L169"/>
          <cell r="M169"/>
          <cell r="N169"/>
          <cell r="O169"/>
        </row>
        <row r="170">
          <cell r="B170" t="str">
            <v xml:space="preserve">VTLS-RV B-1    </v>
          </cell>
          <cell r="C170">
            <v>0.52083333333333337</v>
          </cell>
          <cell r="D170" t="str">
            <v>24 hrs</v>
          </cell>
          <cell r="E170" t="str">
            <v>48 hrs</v>
          </cell>
          <cell r="F170" t="str">
            <v>Diario</v>
          </cell>
          <cell r="G170" t="str">
            <v>Físicas</v>
          </cell>
          <cell r="H170">
            <v>10000</v>
          </cell>
          <cell r="I170" t="str">
            <v>Largo Plazo</v>
          </cell>
          <cell r="J170" t="str">
            <v>Efectivo</v>
          </cell>
          <cell r="K170">
            <v>1.6000000000000001E-3</v>
          </cell>
          <cell r="L170" t="str">
            <v>No aplica</v>
          </cell>
          <cell r="M170" t="str">
            <v>Mercados financieros globales</v>
          </cell>
          <cell r="O170" t="str">
            <v>Discrecional</v>
          </cell>
        </row>
        <row r="171">
          <cell r="B171" t="str">
            <v xml:space="preserve">VTLS-RV E-1    </v>
          </cell>
          <cell r="C171">
            <v>0.52083333333333337</v>
          </cell>
          <cell r="D171" t="str">
            <v>24 hrs</v>
          </cell>
          <cell r="E171" t="str">
            <v>48 hrs</v>
          </cell>
          <cell r="F171" t="str">
            <v>Diario</v>
          </cell>
          <cell r="G171" t="str">
            <v>Morales No Contribuyentes</v>
          </cell>
          <cell r="H171">
            <v>10000</v>
          </cell>
          <cell r="I171" t="str">
            <v>Largo Plazo</v>
          </cell>
          <cell r="J171" t="str">
            <v>Efectivo</v>
          </cell>
          <cell r="K171">
            <v>1.1000000000000001E-3</v>
          </cell>
          <cell r="L171" t="str">
            <v>No aplica</v>
          </cell>
          <cell r="M171" t="str">
            <v>Mercados financieros globales</v>
          </cell>
          <cell r="O171" t="str">
            <v>Discrecional</v>
          </cell>
        </row>
        <row r="172">
          <cell r="B172" t="str">
            <v xml:space="preserve">VTLS-RV M-1    </v>
          </cell>
          <cell r="C172">
            <v>0.52083333333333337</v>
          </cell>
          <cell r="D172" t="str">
            <v>24 hrs</v>
          </cell>
          <cell r="E172" t="str">
            <v>48 hrs</v>
          </cell>
          <cell r="F172" t="str">
            <v>Diario</v>
          </cell>
          <cell r="G172" t="str">
            <v>Morales</v>
          </cell>
          <cell r="H172">
            <v>10000</v>
          </cell>
          <cell r="I172" t="str">
            <v>Largo Plazo</v>
          </cell>
          <cell r="J172" t="str">
            <v>Efectivo</v>
          </cell>
          <cell r="K172">
            <v>1.6000000000000001E-3</v>
          </cell>
          <cell r="L172" t="str">
            <v>No aplica</v>
          </cell>
          <cell r="M172" t="str">
            <v>Mercados financieros globales</v>
          </cell>
          <cell r="O172" t="str">
            <v>Discrecional</v>
          </cell>
        </row>
        <row r="173">
          <cell r="B173" t="str">
            <v xml:space="preserve">VTLS-RF B-1    </v>
          </cell>
          <cell r="C173">
            <v>0.52083333333333337</v>
          </cell>
          <cell r="D173" t="str">
            <v>Mismo día</v>
          </cell>
          <cell r="E173" t="str">
            <v>24 hrs</v>
          </cell>
          <cell r="F173" t="str">
            <v>Diario</v>
          </cell>
          <cell r="G173" t="str">
            <v>Físicas</v>
          </cell>
          <cell r="H173">
            <v>1000</v>
          </cell>
          <cell r="I173" t="str">
            <v>Mediano Plazo</v>
          </cell>
          <cell r="J173" t="str">
            <v>Anualizado Compuesto</v>
          </cell>
          <cell r="K173">
            <v>1.6000000000000001E-3</v>
          </cell>
          <cell r="L173" t="str">
            <v>AA/4HR</v>
          </cell>
          <cell r="M173" t="str">
            <v xml:space="preserve">Deuda </v>
          </cell>
          <cell r="N173" t="str">
            <v>T+1</v>
          </cell>
          <cell r="O173" t="str">
            <v>Mediano Plazo</v>
          </cell>
        </row>
        <row r="174">
          <cell r="B174" t="str">
            <v xml:space="preserve">VTLS-RF E-1    </v>
          </cell>
          <cell r="C174">
            <v>0.52083333333333337</v>
          </cell>
          <cell r="D174" t="str">
            <v>Mismo día</v>
          </cell>
          <cell r="E174" t="str">
            <v>24 hrs</v>
          </cell>
          <cell r="F174" t="str">
            <v>Diario</v>
          </cell>
          <cell r="G174" t="str">
            <v>Morales No Contribuyentes</v>
          </cell>
          <cell r="H174">
            <v>10000</v>
          </cell>
          <cell r="I174" t="str">
            <v>Mediano Plazo</v>
          </cell>
          <cell r="J174" t="str">
            <v>Anualizado Compuesto</v>
          </cell>
          <cell r="K174">
            <v>1.1000000000000001E-3</v>
          </cell>
          <cell r="L174" t="str">
            <v>AA/4HR</v>
          </cell>
          <cell r="M174" t="str">
            <v xml:space="preserve">Deuda </v>
          </cell>
          <cell r="N174" t="str">
            <v>T+1</v>
          </cell>
          <cell r="O174" t="str">
            <v>Mediano Plazo</v>
          </cell>
        </row>
        <row r="175">
          <cell r="B175" t="str">
            <v xml:space="preserve">VTLS-RF M-1    </v>
          </cell>
          <cell r="C175">
            <v>0.52083333333333337</v>
          </cell>
          <cell r="D175" t="str">
            <v>Mismo día</v>
          </cell>
          <cell r="E175" t="str">
            <v>24 hrs</v>
          </cell>
          <cell r="F175" t="str">
            <v>Diario</v>
          </cell>
          <cell r="G175" t="str">
            <v>Morales</v>
          </cell>
          <cell r="H175">
            <v>10000</v>
          </cell>
          <cell r="I175" t="str">
            <v>Mediano Plazo</v>
          </cell>
          <cell r="J175" t="str">
            <v>Anualizado Compuesto</v>
          </cell>
          <cell r="K175">
            <v>1.6000000000000001E-3</v>
          </cell>
          <cell r="L175" t="str">
            <v>AA/4HR</v>
          </cell>
          <cell r="M175" t="str">
            <v xml:space="preserve">Deuda </v>
          </cell>
          <cell r="N175" t="str">
            <v>T+1</v>
          </cell>
          <cell r="O175" t="str">
            <v>Mediano Plazo</v>
          </cell>
        </row>
        <row r="176">
          <cell r="B176" t="str">
            <v>STRAT B-F1</v>
          </cell>
          <cell r="C176">
            <v>0.52083333333333337</v>
          </cell>
          <cell r="D176" t="str">
            <v>24 hrs</v>
          </cell>
          <cell r="E176" t="str">
            <v>48 hrs</v>
          </cell>
          <cell r="F176" t="str">
            <v>Diario</v>
          </cell>
          <cell r="G176" t="str">
            <v>Morales</v>
          </cell>
          <cell r="H176">
            <v>10000</v>
          </cell>
          <cell r="I176" t="str">
            <v>Largo Plazo</v>
          </cell>
          <cell r="J176" t="str">
            <v>Efectivo</v>
          </cell>
          <cell r="K176">
            <v>5.0000000000000001E-4</v>
          </cell>
          <cell r="M176" t="str">
            <v>Mercados financieros globales</v>
          </cell>
          <cell r="O176" t="str">
            <v>Discrecional</v>
          </cell>
        </row>
        <row r="177">
          <cell r="B177"/>
          <cell r="C177"/>
          <cell r="D177"/>
          <cell r="E177"/>
          <cell r="F177"/>
          <cell r="G177"/>
          <cell r="H177"/>
          <cell r="I177"/>
          <cell r="J177"/>
        </row>
        <row r="178">
          <cell r="B178" t="str">
            <v>TIIE-28</v>
          </cell>
          <cell r="C178"/>
          <cell r="D178"/>
          <cell r="E178"/>
          <cell r="F178"/>
          <cell r="G178"/>
          <cell r="H178"/>
          <cell r="I178"/>
          <cell r="J178" t="str">
            <v>Anualizado</v>
          </cell>
          <cell r="N178" t="str">
            <v>T+1</v>
          </cell>
          <cell r="O178"/>
        </row>
        <row r="179">
          <cell r="B179" t="str">
            <v>UDI</v>
          </cell>
          <cell r="C179"/>
          <cell r="D179"/>
          <cell r="E179"/>
          <cell r="F179"/>
          <cell r="G179"/>
          <cell r="H179"/>
          <cell r="I179"/>
          <cell r="J179" t="str">
            <v>Anualizado</v>
          </cell>
          <cell r="N179" t="str">
            <v>T+1</v>
          </cell>
          <cell r="O179"/>
        </row>
        <row r="180">
          <cell r="B180" t="str">
            <v>USD spot 48</v>
          </cell>
          <cell r="C180"/>
          <cell r="D180"/>
          <cell r="E180"/>
          <cell r="F180"/>
          <cell r="G180"/>
          <cell r="H180"/>
          <cell r="I180"/>
          <cell r="J180" t="str">
            <v>Anualizado</v>
          </cell>
          <cell r="N180" t="str">
            <v>T+1</v>
          </cell>
          <cell r="O180"/>
        </row>
        <row r="181">
          <cell r="B181" t="str">
            <v>S&amp;P500</v>
          </cell>
          <cell r="C181"/>
          <cell r="D181"/>
          <cell r="E181"/>
          <cell r="F181"/>
          <cell r="G181"/>
          <cell r="H181"/>
          <cell r="I181"/>
          <cell r="J181" t="str">
            <v>Efectivo</v>
          </cell>
          <cell r="N181" t="str">
            <v>T+1</v>
          </cell>
          <cell r="O181"/>
        </row>
        <row r="182">
          <cell r="B182" t="str">
            <v>IPC</v>
          </cell>
          <cell r="C182"/>
          <cell r="D182"/>
          <cell r="E182"/>
          <cell r="F182"/>
          <cell r="G182"/>
          <cell r="H182"/>
          <cell r="I182"/>
          <cell r="J182" t="str">
            <v>Efectivo</v>
          </cell>
          <cell r="N182" t="str">
            <v>T+1</v>
          </cell>
          <cell r="O182"/>
        </row>
      </sheetData>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1147"/>
  <sheetViews>
    <sheetView tabSelected="1" workbookViewId="0">
      <selection activeCell="A7" sqref="A7:C7"/>
    </sheetView>
  </sheetViews>
  <sheetFormatPr baseColWidth="10" defaultRowHeight="14.5" x14ac:dyDescent="0.35"/>
  <cols>
    <col min="1" max="1" width="13.81640625" bestFit="1" customWidth="1"/>
    <col min="3" max="3" width="12.81640625" customWidth="1"/>
    <col min="5" max="5" width="11.453125" style="1"/>
    <col min="6" max="6" width="13.1796875" style="1" customWidth="1"/>
    <col min="7" max="7" width="14.7265625" customWidth="1"/>
    <col min="8" max="8" width="13.26953125" customWidth="1"/>
    <col min="9" max="9" width="13" customWidth="1"/>
    <col min="11" max="11" width="12.54296875" customWidth="1"/>
    <col min="13" max="13" width="12.7265625" customWidth="1"/>
    <col min="14" max="14" width="13.453125" customWidth="1"/>
  </cols>
  <sheetData>
    <row r="1" spans="1:43" s="1" customFormat="1" x14ac:dyDescent="0.35"/>
    <row r="2" spans="1:43" s="1" customFormat="1" x14ac:dyDescent="0.35"/>
    <row r="3" spans="1:43" s="1" customFormat="1" ht="15.5" x14ac:dyDescent="0.35">
      <c r="N3" s="3" t="s">
        <v>37</v>
      </c>
    </row>
    <row r="4" spans="1:43" s="1" customFormat="1" ht="15.5" x14ac:dyDescent="0.35">
      <c r="M4" s="3" t="s">
        <v>38</v>
      </c>
      <c r="N4" s="4">
        <f>+'MTX PRECIOS'!B114</f>
        <v>46142</v>
      </c>
    </row>
    <row r="5" spans="1:43" s="1" customFormat="1" x14ac:dyDescent="0.35"/>
    <row r="6" spans="1:43" s="1" customFormat="1" ht="16" thickBot="1" x14ac:dyDescent="0.4">
      <c r="A6" s="2" t="s">
        <v>181</v>
      </c>
      <c r="E6" s="2" t="s">
        <v>107</v>
      </c>
    </row>
    <row r="7" spans="1:43" ht="15.5" thickTop="1" thickBot="1" x14ac:dyDescent="0.4">
      <c r="A7" s="335" t="s">
        <v>215</v>
      </c>
      <c r="B7" s="336"/>
      <c r="C7" s="337"/>
      <c r="E7" s="334" t="str">
        <f>VLOOKUP($A$7,$A$171:$B$278,2,0)</f>
        <v>Efectivo</v>
      </c>
      <c r="F7" s="334"/>
      <c r="H7" s="1"/>
      <c r="I7" s="1"/>
      <c r="J7" s="1"/>
      <c r="K7" s="1"/>
      <c r="L7" s="1"/>
      <c r="M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s="1" customFormat="1" ht="15" thickTop="1" x14ac:dyDescent="0.35"/>
    <row r="9" spans="1:43" s="1" customFormat="1" x14ac:dyDescent="0.35">
      <c r="A9" s="342" t="s">
        <v>25</v>
      </c>
      <c r="B9" s="342"/>
      <c r="C9" s="314" t="str">
        <f>+A7</f>
        <v>MVFANG+ BF-1</v>
      </c>
      <c r="D9" s="314"/>
      <c r="E9" s="314"/>
      <c r="F9" s="314"/>
    </row>
    <row r="10" spans="1:43" x14ac:dyDescent="0.35">
      <c r="A10" s="338" t="s">
        <v>80</v>
      </c>
      <c r="B10" s="338"/>
      <c r="C10" s="316" t="str">
        <f>VLOOKUP(A7,'MTX CARAC'!$A$4:$O$1022,12,0)</f>
        <v>Renta variable</v>
      </c>
      <c r="D10" s="317"/>
      <c r="E10" s="317"/>
      <c r="F10" s="318"/>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row>
    <row r="11" spans="1:43" ht="62.25" customHeight="1" x14ac:dyDescent="0.35">
      <c r="A11" s="339" t="s">
        <v>133</v>
      </c>
      <c r="B11" s="339"/>
      <c r="C11" s="316" t="str">
        <f>VLOOKUP($A7,'MTX CARAC'!$A$4:$P$123,13,0)</f>
        <v>Especializado en Renta Variable</v>
      </c>
      <c r="D11" s="317"/>
      <c r="E11" s="317"/>
      <c r="F11" s="318"/>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row>
    <row r="12" spans="1:43" ht="45.75" customHeight="1" x14ac:dyDescent="0.35">
      <c r="A12" s="343" t="s">
        <v>26</v>
      </c>
      <c r="B12" s="343"/>
      <c r="C12" s="316" t="str">
        <f>VLOOKUP($C$9,'MTX CARAC'!$A$2:$L$123,2,FALSE)</f>
        <v>NASDAQ 100</v>
      </c>
      <c r="D12" s="317"/>
      <c r="E12" s="317"/>
      <c r="F12" s="318"/>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row>
    <row r="13" spans="1:43" ht="59.25" customHeight="1" x14ac:dyDescent="0.35">
      <c r="A13" s="320" t="s">
        <v>27</v>
      </c>
      <c r="B13" s="321"/>
      <c r="C13" s="316" t="str">
        <f>VLOOKUP($C$9,'MTX CARAC'!$A$2:$L$123,3,FALSE)</f>
        <v>Personas físicas mexicanas</v>
      </c>
      <c r="D13" s="317"/>
      <c r="E13" s="317"/>
      <c r="F13" s="318"/>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row>
    <row r="14" spans="1:43" x14ac:dyDescent="0.35">
      <c r="A14" s="320" t="s">
        <v>28</v>
      </c>
      <c r="B14" s="321"/>
      <c r="C14" s="323" t="str">
        <f>VLOOKUP($C$9,'MTX CARAC'!$A$2:$L$123,4,FALSE)</f>
        <v>Una acción</v>
      </c>
      <c r="D14" s="324"/>
      <c r="E14" s="324"/>
      <c r="F14" s="325"/>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row>
    <row r="15" spans="1:43" x14ac:dyDescent="0.35">
      <c r="A15" s="320" t="s">
        <v>29</v>
      </c>
      <c r="B15" s="321"/>
      <c r="C15" s="311" t="str">
        <f>VLOOKUP($C$9,'MTX CARAC'!$A$2:$L$123,5,FALSE)</f>
        <v>Largo Plazo</v>
      </c>
      <c r="D15" s="312"/>
      <c r="E15" s="312"/>
      <c r="F15" s="313"/>
      <c r="G15" s="65"/>
      <c r="H15" s="65"/>
      <c r="I15" s="65"/>
      <c r="J15" s="65"/>
      <c r="K15" s="65"/>
      <c r="L15" s="65"/>
      <c r="M15" s="65"/>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row>
    <row r="16" spans="1:43" ht="48" customHeight="1" x14ac:dyDescent="0.35">
      <c r="A16" s="320" t="s">
        <v>30</v>
      </c>
      <c r="B16" s="321"/>
      <c r="C16" s="316" t="str">
        <f>VLOOKUP($C$9,'MTX CARAC'!$A$2:$L$123,6,FALSE)</f>
        <v>Diario</v>
      </c>
      <c r="D16" s="317"/>
      <c r="E16" s="317"/>
      <c r="F16" s="318"/>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row>
    <row r="17" spans="1:43" ht="18.75" customHeight="1" x14ac:dyDescent="0.35">
      <c r="A17" s="320" t="s">
        <v>31</v>
      </c>
      <c r="B17" s="321"/>
      <c r="C17" s="311" t="str">
        <f>VLOOKUP($C$9,'MTX CARAC'!$A$2:$L$123,7,FALSE)</f>
        <v>24 hrs</v>
      </c>
      <c r="D17" s="312"/>
      <c r="E17" s="312"/>
      <c r="F17" s="313"/>
      <c r="G17" s="1"/>
      <c r="H17" s="1"/>
      <c r="I17" s="1"/>
      <c r="J17" s="1"/>
      <c r="K17" s="1"/>
      <c r="L17" s="5"/>
      <c r="M17" s="1"/>
      <c r="N17" s="1"/>
      <c r="O17" s="1"/>
      <c r="P17" s="1"/>
      <c r="Q17" s="1"/>
      <c r="R17" s="19"/>
      <c r="S17" s="19"/>
      <c r="T17" s="19"/>
      <c r="U17" s="19"/>
      <c r="V17" s="19"/>
      <c r="W17" s="19"/>
      <c r="X17" s="1"/>
      <c r="Y17" s="1"/>
      <c r="Z17" s="1"/>
      <c r="AA17" s="1"/>
      <c r="AB17" s="1"/>
      <c r="AC17" s="1"/>
      <c r="AD17" s="1"/>
      <c r="AE17" s="1"/>
      <c r="AF17" s="1"/>
      <c r="AG17" s="1"/>
      <c r="AH17" s="1"/>
      <c r="AI17" s="1"/>
      <c r="AJ17" s="1"/>
      <c r="AK17" s="1"/>
      <c r="AL17" s="1"/>
      <c r="AM17" s="1"/>
      <c r="AN17" s="1"/>
      <c r="AO17" s="1"/>
      <c r="AP17" s="1"/>
      <c r="AQ17" s="1"/>
    </row>
    <row r="18" spans="1:43" ht="49.5" customHeight="1" x14ac:dyDescent="0.45">
      <c r="A18" s="340" t="s">
        <v>36</v>
      </c>
      <c r="B18" s="341"/>
      <c r="C18" s="344" t="str">
        <f>VLOOKUP($C$9,'MTX CARAC'!$A$2:$L$123,8,FALSE)</f>
        <v>14:00  (1)</v>
      </c>
      <c r="D18" s="345"/>
      <c r="E18" s="345"/>
      <c r="F18" s="346"/>
      <c r="G18" s="15"/>
      <c r="H18" s="15"/>
      <c r="I18" s="15"/>
      <c r="J18" s="15"/>
      <c r="K18" s="15"/>
      <c r="L18" s="15"/>
      <c r="M18" s="15"/>
      <c r="N18" s="15"/>
      <c r="O18" s="1"/>
      <c r="P18" s="1"/>
      <c r="Q18" s="1"/>
      <c r="R18" s="19"/>
      <c r="S18" s="19"/>
      <c r="T18" s="19"/>
      <c r="U18" s="19"/>
      <c r="V18" s="19"/>
      <c r="W18" s="19"/>
      <c r="X18" s="1"/>
      <c r="Y18" s="1"/>
      <c r="Z18" s="1"/>
      <c r="AA18" s="1"/>
      <c r="AB18" s="1"/>
      <c r="AC18" s="1"/>
      <c r="AD18" s="1"/>
      <c r="AE18" s="1"/>
      <c r="AF18" s="1"/>
      <c r="AG18" s="1"/>
      <c r="AH18" s="1"/>
      <c r="AI18" s="1"/>
      <c r="AJ18" s="1"/>
      <c r="AK18" s="1"/>
      <c r="AL18" s="1"/>
      <c r="AM18" s="1"/>
      <c r="AN18" s="1"/>
      <c r="AO18" s="1"/>
      <c r="AP18" s="1"/>
      <c r="AQ18" s="1"/>
    </row>
    <row r="19" spans="1:43" x14ac:dyDescent="0.35">
      <c r="A19" s="320" t="s">
        <v>33</v>
      </c>
      <c r="B19" s="321"/>
      <c r="C19" s="311" t="str">
        <f>VLOOKUP($C$9,'MTX CARAC'!$A$2:$L$123,9,FALSE)</f>
        <v>No aplica</v>
      </c>
      <c r="D19" s="312"/>
      <c r="E19" s="312"/>
      <c r="F19" s="313"/>
      <c r="G19" s="1"/>
      <c r="H19" s="1"/>
      <c r="I19" s="1"/>
      <c r="J19" s="1"/>
      <c r="K19" s="1"/>
      <c r="L19" s="1"/>
      <c r="M19" s="1"/>
      <c r="N19" s="1"/>
      <c r="O19" s="1"/>
      <c r="P19" s="1"/>
      <c r="Q19" s="1"/>
      <c r="R19" s="19"/>
      <c r="S19" s="19"/>
      <c r="T19" s="19"/>
      <c r="U19" s="19"/>
      <c r="V19" s="19"/>
      <c r="W19" s="19"/>
      <c r="X19" s="1"/>
      <c r="Y19" s="1"/>
      <c r="Z19" s="1"/>
      <c r="AA19" s="1"/>
      <c r="AB19" s="1"/>
      <c r="AC19" s="1"/>
      <c r="AD19" s="1"/>
      <c r="AE19" s="1"/>
      <c r="AF19" s="1"/>
      <c r="AG19" s="1"/>
      <c r="AH19" s="1"/>
      <c r="AI19" s="1"/>
      <c r="AJ19" s="1"/>
      <c r="AK19" s="1"/>
      <c r="AL19" s="1"/>
      <c r="AM19" s="1"/>
      <c r="AN19" s="1"/>
      <c r="AO19" s="1"/>
      <c r="AP19" s="1"/>
      <c r="AQ19" s="1"/>
    </row>
    <row r="20" spans="1:43" s="1" customFormat="1" ht="60" customHeight="1" x14ac:dyDescent="0.35">
      <c r="A20" s="320" t="s">
        <v>39</v>
      </c>
      <c r="B20" s="321"/>
      <c r="C20" s="316" t="str">
        <f>VLOOKUP($C$9,'MTX CARAC'!$A$2:$L$123,11,FALSE)</f>
        <v>ETF's  y acciones del mercado accionario NASDAQ</v>
      </c>
      <c r="D20" s="317"/>
      <c r="E20" s="317"/>
      <c r="F20" s="318"/>
      <c r="R20" s="19"/>
      <c r="S20" s="19"/>
      <c r="T20" s="19"/>
      <c r="U20" s="19"/>
      <c r="V20" s="19"/>
      <c r="W20" s="19"/>
    </row>
    <row r="21" spans="1:43" s="1" customFormat="1" x14ac:dyDescent="0.35">
      <c r="R21" s="19"/>
      <c r="S21" s="19"/>
      <c r="T21" s="19"/>
      <c r="U21" s="19"/>
      <c r="V21" s="19"/>
      <c r="W21" s="19"/>
    </row>
    <row r="22" spans="1:43" s="1" customFormat="1" ht="48" customHeight="1" x14ac:dyDescent="0.35">
      <c r="R22" s="19"/>
      <c r="S22" s="19"/>
      <c r="T22" s="19"/>
      <c r="U22" s="19"/>
      <c r="V22" s="19"/>
      <c r="W22" s="19"/>
    </row>
    <row r="23" spans="1:43" s="1" customFormat="1" x14ac:dyDescent="0.35"/>
    <row r="24" spans="1:43" s="1" customFormat="1" x14ac:dyDescent="0.35"/>
    <row r="25" spans="1:43" s="1" customFormat="1" ht="21.75" customHeight="1" x14ac:dyDescent="0.35"/>
    <row r="26" spans="1:43" s="1" customFormat="1" x14ac:dyDescent="0.35"/>
    <row r="27" spans="1:43" s="1" customFormat="1" x14ac:dyDescent="0.35"/>
    <row r="28" spans="1:43" s="1" customFormat="1" ht="26" x14ac:dyDescent="0.35">
      <c r="G28" s="328" t="s">
        <v>260</v>
      </c>
      <c r="H28" s="329"/>
      <c r="I28" s="96" t="s">
        <v>254</v>
      </c>
      <c r="J28" s="96" t="s">
        <v>255</v>
      </c>
      <c r="K28" s="96" t="s">
        <v>256</v>
      </c>
      <c r="L28" s="96" t="s">
        <v>257</v>
      </c>
      <c r="M28" s="326" t="s">
        <v>299</v>
      </c>
      <c r="N28" s="326" t="s">
        <v>300</v>
      </c>
    </row>
    <row r="29" spans="1:43" s="1" customFormat="1" x14ac:dyDescent="0.35">
      <c r="G29" s="330"/>
      <c r="H29" s="331"/>
      <c r="I29" s="97">
        <f>+'MTX PRECIOS'!C203</f>
        <v>46112</v>
      </c>
      <c r="J29" s="97">
        <f>+'MTX PRECIOS'!D203</f>
        <v>46052</v>
      </c>
      <c r="K29" s="97">
        <f>+'MTX PRECIOS'!E203</f>
        <v>45777</v>
      </c>
      <c r="L29" s="97">
        <f>+'MTX PRECIOS'!F203</f>
        <v>45044</v>
      </c>
      <c r="M29" s="326"/>
      <c r="N29" s="326"/>
    </row>
    <row r="30" spans="1:43" s="1" customFormat="1" ht="25.5" customHeight="1" x14ac:dyDescent="0.35">
      <c r="G30" s="332"/>
      <c r="H30" s="333"/>
      <c r="I30" s="97">
        <f>+'MTX PRECIOS'!C204</f>
        <v>46142</v>
      </c>
      <c r="J30" s="97">
        <f>+'MTX PRECIOS'!D204</f>
        <v>46142</v>
      </c>
      <c r="K30" s="97">
        <f>+'MTX PRECIOS'!E204</f>
        <v>46142</v>
      </c>
      <c r="L30" s="97">
        <f>+'MTX PRECIOS'!F204</f>
        <v>46142</v>
      </c>
      <c r="M30" s="326"/>
      <c r="N30" s="326"/>
    </row>
    <row r="31" spans="1:43" s="1" customFormat="1" ht="48.75" customHeight="1" x14ac:dyDescent="0.35">
      <c r="G31" s="103" t="str">
        <f>+A7</f>
        <v>MVFANG+ BF-1</v>
      </c>
      <c r="H31" s="102" t="str">
        <f>+E7</f>
        <v>Efectivo</v>
      </c>
      <c r="I31" s="98">
        <f>VLOOKUP($G$31,'MTX PRECIOS'!$A$208:$F$208,3,FALSE)</f>
        <v>0.12650398094829285</v>
      </c>
      <c r="J31" s="98">
        <f>VLOOKUP($G$31,'MTX PRECIOS'!$A$208:$F$208,4,FALSE)</f>
        <v>7.9931994286508878E-2</v>
      </c>
      <c r="K31" s="98">
        <f>VLOOKUP($G$31,'MTX PRECIOS'!$A$208:$F$208,5,FALSE)</f>
        <v>0.25619368219501704</v>
      </c>
      <c r="L31" s="98">
        <f>VLOOKUP($G$31,'MTX PRECIOS'!$A$208:$F$208,6,FALSE)</f>
        <v>0.92472064521942876</v>
      </c>
      <c r="M31" s="98" t="str">
        <f>VLOOKUP($G31,'12M CALENDAR'!$B$4:$AC$158,27,0)</f>
        <v>No aplica</v>
      </c>
      <c r="N31" s="98" t="str">
        <f>VLOOKUP($G31,'12M CALENDAR'!$B$4:$AC$158,28,0)</f>
        <v>No aplica</v>
      </c>
    </row>
    <row r="32" spans="1:43" s="1" customFormat="1" x14ac:dyDescent="0.35">
      <c r="N32" s="104" t="s">
        <v>275</v>
      </c>
    </row>
    <row r="33" spans="1:9" s="1" customFormat="1" x14ac:dyDescent="0.35">
      <c r="G33" s="95" t="s">
        <v>261</v>
      </c>
    </row>
    <row r="34" spans="1:9" s="1" customFormat="1" x14ac:dyDescent="0.35">
      <c r="G34" s="91" t="s">
        <v>35</v>
      </c>
      <c r="H34" s="91" t="s">
        <v>64</v>
      </c>
      <c r="I34" s="91" t="s">
        <v>45</v>
      </c>
    </row>
    <row r="35" spans="1:9" s="1" customFormat="1" x14ac:dyDescent="0.35">
      <c r="G35" s="93">
        <v>2023</v>
      </c>
      <c r="H35" s="92">
        <f>VLOOKUP($G35,'MTX PRECIOS'!$A$122:$D$125,2,0)</f>
        <v>44925</v>
      </c>
      <c r="I35" s="94">
        <f>VLOOKUP($G35,'MTX PRECIOS'!$A$122:$D$125,3,0)</f>
        <v>45289</v>
      </c>
    </row>
    <row r="36" spans="1:9" s="1" customFormat="1" x14ac:dyDescent="0.35">
      <c r="G36" s="93">
        <v>2024</v>
      </c>
      <c r="H36" s="92">
        <f>VLOOKUP($G36,'MTX PRECIOS'!$A$122:$D$125,2,0)</f>
        <v>45289</v>
      </c>
      <c r="I36" s="94">
        <f>VLOOKUP($G36,'MTX PRECIOS'!$A$122:$D$125,3,0)</f>
        <v>45657</v>
      </c>
    </row>
    <row r="37" spans="1:9" s="1" customFormat="1" x14ac:dyDescent="0.35">
      <c r="G37" s="93">
        <v>2025</v>
      </c>
      <c r="H37" s="92">
        <f>VLOOKUP($G37,'MTX PRECIOS'!$A$122:$D$125,2,0)</f>
        <v>45657</v>
      </c>
      <c r="I37" s="94">
        <f>VLOOKUP($G37,'MTX PRECIOS'!$A$122:$D$125,3,0)</f>
        <v>46022</v>
      </c>
    </row>
    <row r="38" spans="1:9" s="1" customFormat="1" x14ac:dyDescent="0.35">
      <c r="G38" s="174">
        <v>2026</v>
      </c>
      <c r="H38" s="175">
        <f>VLOOKUP($G38,'MTX PRECIOS'!$A$122:$D$125,2,0)</f>
        <v>46022</v>
      </c>
      <c r="I38" s="176">
        <f>VLOOKUP($G38,'MTX PRECIOS'!$A$122:$D$125,3,0)</f>
        <v>46142</v>
      </c>
    </row>
    <row r="39" spans="1:9" s="1" customFormat="1" x14ac:dyDescent="0.35">
      <c r="A39" s="14" t="s">
        <v>193</v>
      </c>
    </row>
    <row r="40" spans="1:9" s="1" customFormat="1" x14ac:dyDescent="0.35"/>
    <row r="41" spans="1:9" s="1" customFormat="1" x14ac:dyDescent="0.35"/>
    <row r="42" spans="1:9" s="1" customFormat="1" x14ac:dyDescent="0.35"/>
    <row r="43" spans="1:9" s="1" customFormat="1" x14ac:dyDescent="0.35"/>
    <row r="44" spans="1:9" s="1" customFormat="1" x14ac:dyDescent="0.35"/>
    <row r="45" spans="1:9" s="1" customFormat="1" x14ac:dyDescent="0.35"/>
    <row r="46" spans="1:9" s="1" customFormat="1" x14ac:dyDescent="0.35"/>
    <row r="47" spans="1:9" s="1" customFormat="1" x14ac:dyDescent="0.35"/>
    <row r="48" spans="1:9" s="1" customFormat="1" x14ac:dyDescent="0.35"/>
    <row r="49" spans="1:14" s="1" customFormat="1" x14ac:dyDescent="0.35"/>
    <row r="50" spans="1:14" s="1" customFormat="1" x14ac:dyDescent="0.35"/>
    <row r="51" spans="1:14" s="1" customFormat="1" x14ac:dyDescent="0.35"/>
    <row r="52" spans="1:14" s="1" customFormat="1" x14ac:dyDescent="0.35"/>
    <row r="53" spans="1:14" s="1" customFormat="1" x14ac:dyDescent="0.35"/>
    <row r="54" spans="1:14" s="1" customFormat="1" x14ac:dyDescent="0.35"/>
    <row r="55" spans="1:14" s="1" customFormat="1" x14ac:dyDescent="0.35"/>
    <row r="56" spans="1:14" s="1" customFormat="1" x14ac:dyDescent="0.35"/>
    <row r="57" spans="1:14" s="1" customFormat="1" x14ac:dyDescent="0.35"/>
    <row r="58" spans="1:14" s="1" customFormat="1" x14ac:dyDescent="0.35"/>
    <row r="59" spans="1:14" s="1" customFormat="1" x14ac:dyDescent="0.35"/>
    <row r="60" spans="1:14" s="1" customFormat="1" x14ac:dyDescent="0.35"/>
    <row r="61" spans="1:14" s="7" customFormat="1" x14ac:dyDescent="0.35">
      <c r="B61" s="12"/>
    </row>
    <row r="62" spans="1:14" s="8" customFormat="1" ht="16" thickBot="1" x14ac:dyDescent="0.4">
      <c r="A62" s="322" t="str">
        <f>+A7&amp;" Rendimiento "&amp;E7</f>
        <v>MVFANG+ BF-1 Rendimiento Efectivo</v>
      </c>
      <c r="B62" s="322"/>
      <c r="C62" s="322"/>
      <c r="D62" s="322"/>
      <c r="E62" s="322"/>
      <c r="F62" s="322"/>
      <c r="G62" s="322"/>
      <c r="H62" s="322"/>
      <c r="I62" s="322"/>
      <c r="J62" s="322"/>
      <c r="K62" s="322"/>
      <c r="L62" s="322"/>
      <c r="M62" s="322"/>
      <c r="N62" s="322"/>
    </row>
    <row r="63" spans="1:14" s="8" customFormat="1" x14ac:dyDescent="0.35">
      <c r="A63" s="192"/>
      <c r="B63" s="193" t="s">
        <v>49</v>
      </c>
      <c r="C63" s="193" t="s">
        <v>50</v>
      </c>
      <c r="D63" s="193" t="s">
        <v>51</v>
      </c>
      <c r="E63" s="193" t="s">
        <v>52</v>
      </c>
      <c r="F63" s="193" t="s">
        <v>53</v>
      </c>
      <c r="G63" s="193" t="s">
        <v>54</v>
      </c>
      <c r="H63" s="193" t="s">
        <v>55</v>
      </c>
      <c r="I63" s="193" t="s">
        <v>56</v>
      </c>
      <c r="J63" s="193" t="s">
        <v>57</v>
      </c>
      <c r="K63" s="193" t="s">
        <v>58</v>
      </c>
      <c r="L63" s="193" t="s">
        <v>59</v>
      </c>
      <c r="M63" s="193" t="s">
        <v>60</v>
      </c>
      <c r="N63" s="193" t="s">
        <v>66</v>
      </c>
    </row>
    <row r="64" spans="1:14" s="8" customFormat="1" ht="15.5" x14ac:dyDescent="0.35">
      <c r="A64" s="194">
        <v>2026</v>
      </c>
      <c r="B64" s="9">
        <f>VLOOKUP($A64,'MTX PRECIOS'!$A$187:$N$190,2,FALSE)</f>
        <v>-2.8607680422392479E-2</v>
      </c>
      <c r="C64" s="9">
        <f>VLOOKUP($A64,'MTX PRECIOS'!$A$187:$N$190,3,FALSE)</f>
        <v>-3.6708618972779439E-2</v>
      </c>
      <c r="D64" s="9">
        <f>VLOOKUP($A64,'MTX PRECIOS'!$A$187:$N$190,4,FALSE)</f>
        <v>-4.8100020047751046E-3</v>
      </c>
      <c r="E64" s="9">
        <f>VLOOKUP($A64,'MTX PRECIOS'!$A$187:$N$190,5,FALSE)</f>
        <v>0.12650398094829285</v>
      </c>
      <c r="F64" s="202"/>
      <c r="G64" s="202"/>
      <c r="H64" s="202"/>
      <c r="I64" s="202"/>
      <c r="J64" s="202"/>
      <c r="K64" s="202"/>
      <c r="L64" s="202"/>
      <c r="M64" s="202"/>
      <c r="N64" s="9">
        <f>VLOOKUP($A64,'MTX PRECIOS'!$A$187:$N$190,14,FALSE)</f>
        <v>4.9037644916043455E-2</v>
      </c>
    </row>
    <row r="65" spans="1:15" s="8" customFormat="1" ht="15.5" x14ac:dyDescent="0.35">
      <c r="A65" s="194">
        <v>2025</v>
      </c>
      <c r="B65" s="9">
        <f>VLOOKUP($A65,'MTX PRECIOS'!$A$187:$N$190,2,FALSE)</f>
        <v>-3.3268595830271419E-3</v>
      </c>
      <c r="C65" s="9">
        <f>VLOOKUP($A65,'MTX PRECIOS'!$A$187:$N$190,3,FALSE)</f>
        <v>-3.3489811384304402E-2</v>
      </c>
      <c r="D65" s="9">
        <f>VLOOKUP($A65,'MTX PRECIOS'!$A$187:$N$190,4,FALSE)</f>
        <v>-8.6853933481584544E-2</v>
      </c>
      <c r="E65" s="9">
        <f>VLOOKUP($A65,'MTX PRECIOS'!$A$187:$N$190,5,FALSE)</f>
        <v>-2.6690285356279819E-2</v>
      </c>
      <c r="F65" s="9">
        <f>VLOOKUP($A65,'MTX PRECIOS'!$A$187:$N$190,6,FALSE)</f>
        <v>7.5465348136034338E-2</v>
      </c>
      <c r="G65" s="9">
        <f>VLOOKUP($A65,'MTX PRECIOS'!$A$187:$N$190,7,FALSE)</f>
        <v>4.443119457683764E-2</v>
      </c>
      <c r="H65" s="9">
        <f>VLOOKUP($A65,'MTX PRECIOS'!$A$187:$N$190,8,FALSE)</f>
        <v>3.4161847525075117E-2</v>
      </c>
      <c r="I65" s="9">
        <f>VLOOKUP($A65,'MTX PRECIOS'!$A$187:$N$190,9,FALSE)</f>
        <v>-2.3627911032486626E-4</v>
      </c>
      <c r="J65" s="9">
        <f>VLOOKUP($A65,'MTX PRECIOS'!$A$187:$N$190,10,FALSE)</f>
        <v>3.7913471865941961E-2</v>
      </c>
      <c r="K65" s="9">
        <f>VLOOKUP($A65,'MTX PRECIOS'!$A$187:$N$190,11,FALSE)</f>
        <v>6.3197464375821966E-2</v>
      </c>
      <c r="L65" s="9">
        <f>VLOOKUP($A65,'MTX PRECIOS'!$A$187:$N$190,12,FALSE)</f>
        <v>-4.7220671210069898E-2</v>
      </c>
      <c r="M65" s="9">
        <f>VLOOKUP($A65,'MTX PRECIOS'!$A$187:$N$190,13,FALSE)</f>
        <v>-1.9300434510648667E-2</v>
      </c>
      <c r="N65" s="9">
        <f>VLOOKUP($A65,'MTX PRECIOS'!$A$187:$N$190,14,FALSE)</f>
        <v>2.521755367769396E-2</v>
      </c>
    </row>
    <row r="66" spans="1:15" s="8" customFormat="1" ht="15.5" x14ac:dyDescent="0.35">
      <c r="A66" s="194">
        <v>2024</v>
      </c>
      <c r="B66" s="9">
        <f>VLOOKUP($A66,'MTX PRECIOS'!$A$187:$N$190,2,FALSE)</f>
        <v>2.2866625295721033E-2</v>
      </c>
      <c r="C66" s="9">
        <f>VLOOKUP($A66,'MTX PRECIOS'!$A$187:$N$190,3,FALSE)</f>
        <v>4.8933890329694307E-2</v>
      </c>
      <c r="D66" s="9">
        <f>VLOOKUP($A66,'MTX PRECIOS'!$A$187:$N$190,4,FALSE)</f>
        <v>-1.3743140273994259E-2</v>
      </c>
      <c r="E66" s="9">
        <f>VLOOKUP($A66,'MTX PRECIOS'!$A$187:$N$190,5,FALSE)</f>
        <v>-1.3868595607043788E-2</v>
      </c>
      <c r="F66" s="9">
        <f>VLOOKUP($A66,'MTX PRECIOS'!$A$187:$N$190,6,FALSE)</f>
        <v>5.7537310554934162E-2</v>
      </c>
      <c r="G66" s="9">
        <f>VLOOKUP($A66,'MTX PRECIOS'!$A$187:$N$190,7,FALSE)</f>
        <v>0.13463727144137572</v>
      </c>
      <c r="H66" s="9">
        <f>VLOOKUP($A66,'MTX PRECIOS'!$A$187:$N$190,8,FALSE)</f>
        <v>7.745421084325077E-3</v>
      </c>
      <c r="I66" s="9">
        <f>VLOOKUP($A66,'MTX PRECIOS'!$A$187:$N$190,9,FALSE)</f>
        <v>6.0956716300164082E-2</v>
      </c>
      <c r="J66" s="9">
        <f>VLOOKUP($A66,'MTX PRECIOS'!$A$187:$N$190,10,FALSE)</f>
        <v>1.9446022120512607E-2</v>
      </c>
      <c r="K66" s="9">
        <f>VLOOKUP($A66,'MTX PRECIOS'!$A$187:$N$190,11,FALSE)</f>
        <v>9.4122284478979079E-3</v>
      </c>
      <c r="L66" s="9">
        <f>VLOOKUP($A66,'MTX PRECIOS'!$A$187:$N$190,12,FALSE)</f>
        <v>7.0682976664240282E-2</v>
      </c>
      <c r="M66" s="9">
        <f>VLOOKUP($A66,'MTX PRECIOS'!$A$187:$N$190,13,FALSE)</f>
        <v>2.6599101540820902E-2</v>
      </c>
      <c r="N66" s="9">
        <f>VLOOKUP($A66,'MTX PRECIOS'!$A$187:$N$190,14,FALSE)</f>
        <v>0.51421579113461591</v>
      </c>
    </row>
    <row r="67" spans="1:15" s="8" customFormat="1" ht="15.5" x14ac:dyDescent="0.35">
      <c r="A67" s="194">
        <v>2023</v>
      </c>
      <c r="B67" s="9">
        <f>VLOOKUP($A67,'MTX PRECIOS'!$A$188:$N$190,2,FALSE)</f>
        <v>8.2397767869077487E-2</v>
      </c>
      <c r="C67" s="9">
        <f>VLOOKUP($A67,'MTX PRECIOS'!$A$188:$N$190,3,FALSE)</f>
        <v>-2.4056510571033307E-2</v>
      </c>
      <c r="D67" s="9">
        <f>VLOOKUP($A67,'MTX PRECIOS'!$A$188:$N$190,4,FALSE)</f>
        <v>7.872359696629827E-2</v>
      </c>
      <c r="E67" s="9">
        <f>VLOOKUP($A67,'MTX PRECIOS'!$A$188:$N$190,5,FALSE)</f>
        <v>-1.3440445306586501E-2</v>
      </c>
      <c r="F67" s="9">
        <f>VLOOKUP($A67,'MTX PRECIOS'!$A$188:$N$190,6,FALSE)</f>
        <v>6.6940013817548216E-2</v>
      </c>
      <c r="G67" s="9">
        <f>VLOOKUP($A67,'MTX PRECIOS'!$A$188:$N$190,7,FALSE)</f>
        <v>3.5354992797383522E-2</v>
      </c>
      <c r="H67" s="9">
        <f>VLOOKUP($A67,'MTX PRECIOS'!$A$188:$N$190,8,FALSE)</f>
        <v>1.6400277813341635E-2</v>
      </c>
      <c r="I67" s="9">
        <f>VLOOKUP($A67,'MTX PRECIOS'!$A$188:$N$190,9,FALSE)</f>
        <v>-3.2282444637168339E-3</v>
      </c>
      <c r="J67" s="9">
        <f>VLOOKUP($A67,'MTX PRECIOS'!$A$188:$N$190,10,FALSE)</f>
        <v>-3.9535398675443423E-2</v>
      </c>
      <c r="K67" s="9">
        <f>VLOOKUP($A67,'MTX PRECIOS'!$A$188:$N$190,11,FALSE)</f>
        <v>5.9999953425224906E-3</v>
      </c>
      <c r="L67" s="9">
        <f>VLOOKUP($A67,'MTX PRECIOS'!$A$188:$N$190,12,FALSE)</f>
        <v>7.2822854973512374E-2</v>
      </c>
      <c r="M67" s="9">
        <f>VLOOKUP($A67,'MTX PRECIOS'!$A$188:$N$190,13,FALSE)</f>
        <v>1.8768913750600191E-2</v>
      </c>
      <c r="N67" s="9">
        <f>VLOOKUP($A67,'MTX PRECIOS'!$A$188:$N$190,14,FALSE)</f>
        <v>0.32867227325875081</v>
      </c>
    </row>
    <row r="68" spans="1:15" s="8" customFormat="1" ht="15.5" x14ac:dyDescent="0.35">
      <c r="A68" s="1" t="s">
        <v>192</v>
      </c>
      <c r="B68" s="100"/>
      <c r="C68" s="100"/>
      <c r="D68" s="100"/>
      <c r="E68" s="18"/>
      <c r="F68" s="18"/>
      <c r="G68" s="18"/>
      <c r="H68" s="18"/>
      <c r="I68" s="18"/>
      <c r="J68" s="18"/>
      <c r="K68" s="18"/>
      <c r="L68" s="18"/>
      <c r="M68" s="18"/>
      <c r="N68" s="18"/>
    </row>
    <row r="69" spans="1:15" s="8" customFormat="1" ht="16.5" customHeight="1" x14ac:dyDescent="0.35">
      <c r="B69" s="18"/>
      <c r="C69" s="18"/>
      <c r="D69" s="18"/>
      <c r="E69" s="18"/>
      <c r="F69" s="18"/>
      <c r="G69" s="18"/>
      <c r="H69" s="18"/>
      <c r="I69" s="18"/>
      <c r="J69" s="18"/>
      <c r="K69" s="18"/>
      <c r="L69" s="18"/>
      <c r="M69" s="18"/>
      <c r="N69" s="18"/>
    </row>
    <row r="70" spans="1:15" s="8" customFormat="1" ht="17.25" customHeight="1" x14ac:dyDescent="0.35">
      <c r="A70" s="327" t="s">
        <v>278</v>
      </c>
      <c r="B70" s="327"/>
      <c r="C70" s="327"/>
      <c r="D70" s="327"/>
      <c r="E70" s="327"/>
      <c r="F70" s="327"/>
      <c r="G70" s="327"/>
      <c r="H70" s="327"/>
      <c r="I70" s="327"/>
      <c r="J70" s="327"/>
      <c r="K70" s="327"/>
      <c r="L70" s="327"/>
      <c r="M70" s="327"/>
      <c r="N70" s="327"/>
    </row>
    <row r="71" spans="1:15" s="13" customFormat="1" x14ac:dyDescent="0.35">
      <c r="A71" s="327"/>
      <c r="B71" s="327"/>
      <c r="C71" s="327"/>
      <c r="D71" s="327"/>
      <c r="E71" s="327"/>
      <c r="F71" s="327"/>
      <c r="G71" s="327"/>
      <c r="H71" s="327"/>
      <c r="I71" s="327"/>
      <c r="J71" s="327"/>
      <c r="K71" s="327"/>
      <c r="L71" s="327"/>
      <c r="M71" s="327"/>
      <c r="N71" s="327"/>
    </row>
    <row r="72" spans="1:15" s="17" customFormat="1" ht="48.75" customHeight="1" x14ac:dyDescent="0.35">
      <c r="A72" s="315" t="s">
        <v>288</v>
      </c>
      <c r="B72" s="315"/>
      <c r="C72" s="315"/>
      <c r="D72" s="315"/>
      <c r="E72" s="315"/>
      <c r="F72" s="315"/>
      <c r="G72" s="315"/>
      <c r="H72" s="315"/>
      <c r="I72" s="315"/>
      <c r="J72" s="315"/>
      <c r="K72" s="315"/>
      <c r="L72" s="315"/>
      <c r="M72" s="315"/>
      <c r="N72" s="315"/>
    </row>
    <row r="73" spans="1:15" s="17" customFormat="1" x14ac:dyDescent="0.35">
      <c r="G73" s="1"/>
    </row>
    <row r="74" spans="1:15" s="17" customFormat="1" x14ac:dyDescent="0.35">
      <c r="A74" s="68"/>
      <c r="B74" s="68"/>
      <c r="C74" s="68"/>
      <c r="D74" s="68"/>
      <c r="E74" s="68"/>
      <c r="F74" s="68"/>
      <c r="G74" s="68"/>
      <c r="H74" s="68"/>
      <c r="I74" s="68"/>
      <c r="J74" s="68"/>
      <c r="K74" s="68"/>
      <c r="L74" s="68"/>
      <c r="M74" s="68"/>
      <c r="N74" s="68"/>
      <c r="O74" s="68"/>
    </row>
    <row r="75" spans="1:15" s="17" customFormat="1" x14ac:dyDescent="0.35">
      <c r="A75" s="68"/>
      <c r="B75" s="68"/>
      <c r="C75" s="68"/>
      <c r="D75" s="68"/>
      <c r="E75" s="68"/>
      <c r="F75" s="68"/>
      <c r="G75" s="68"/>
      <c r="H75" s="68"/>
      <c r="I75" s="68"/>
      <c r="J75" s="68"/>
      <c r="K75" s="68"/>
      <c r="L75" s="68"/>
      <c r="M75" s="68"/>
      <c r="N75" s="68"/>
      <c r="O75" s="68"/>
    </row>
    <row r="76" spans="1:15" s="17" customFormat="1" x14ac:dyDescent="0.35">
      <c r="A76" s="68"/>
      <c r="B76" s="68"/>
      <c r="C76" s="68"/>
      <c r="D76" s="68"/>
      <c r="E76" s="68"/>
      <c r="F76" s="68"/>
      <c r="G76" s="68"/>
      <c r="H76" s="68"/>
      <c r="I76" s="68"/>
      <c r="J76" s="68"/>
      <c r="K76" s="68"/>
      <c r="L76" s="68"/>
      <c r="M76" s="68"/>
      <c r="N76" s="68"/>
      <c r="O76" s="68"/>
    </row>
    <row r="77" spans="1:15" s="17" customFormat="1" x14ac:dyDescent="0.35">
      <c r="A77" s="68"/>
      <c r="B77" s="68"/>
      <c r="C77" s="68"/>
      <c r="D77" s="68"/>
      <c r="E77" s="68"/>
      <c r="F77" s="68"/>
      <c r="G77" s="68"/>
      <c r="H77" s="68"/>
      <c r="I77" s="68"/>
      <c r="J77" s="68"/>
      <c r="K77" s="68"/>
      <c r="L77" s="68"/>
      <c r="M77" s="68"/>
      <c r="N77" s="68"/>
      <c r="O77" s="68"/>
    </row>
    <row r="78" spans="1:15" s="17" customFormat="1" x14ac:dyDescent="0.35">
      <c r="A78" s="68"/>
      <c r="B78" s="68"/>
      <c r="C78" s="68"/>
      <c r="D78" s="68"/>
      <c r="E78" s="68"/>
      <c r="F78" s="68"/>
      <c r="G78" s="68"/>
      <c r="H78" s="68"/>
      <c r="I78" s="68"/>
      <c r="J78" s="68"/>
      <c r="K78" s="68"/>
      <c r="L78" s="68"/>
      <c r="M78" s="68"/>
      <c r="N78" s="68"/>
      <c r="O78" s="68"/>
    </row>
    <row r="79" spans="1:15" s="17" customFormat="1" x14ac:dyDescent="0.35">
      <c r="A79" s="68"/>
      <c r="B79" s="68"/>
      <c r="C79" s="68"/>
      <c r="D79" s="68"/>
      <c r="E79" s="68"/>
      <c r="F79" s="68"/>
      <c r="G79" s="68"/>
      <c r="H79" s="68"/>
      <c r="I79" s="68"/>
      <c r="J79" s="68"/>
      <c r="K79" s="68"/>
      <c r="L79" s="68"/>
      <c r="M79" s="68"/>
      <c r="N79" s="68"/>
      <c r="O79" s="68"/>
    </row>
    <row r="80" spans="1:15" s="17" customFormat="1" x14ac:dyDescent="0.35">
      <c r="A80" s="68"/>
      <c r="B80" s="68"/>
      <c r="C80" s="68"/>
      <c r="D80" s="68"/>
      <c r="E80" s="68"/>
      <c r="F80" s="68"/>
      <c r="G80" s="68"/>
      <c r="H80" s="68"/>
      <c r="I80" s="68"/>
      <c r="J80" s="68"/>
      <c r="K80" s="68"/>
      <c r="L80" s="68"/>
      <c r="M80" s="68"/>
      <c r="N80" s="68"/>
      <c r="O80" s="68"/>
    </row>
    <row r="81" spans="1:15" s="17" customFormat="1" x14ac:dyDescent="0.35">
      <c r="A81" s="68"/>
      <c r="B81" s="68"/>
      <c r="C81" s="68"/>
      <c r="D81" s="68"/>
      <c r="E81" s="68"/>
      <c r="F81" s="68"/>
      <c r="G81" s="68"/>
      <c r="H81" s="68"/>
      <c r="I81" s="68"/>
      <c r="J81" s="68"/>
      <c r="K81" s="68"/>
      <c r="L81" s="68"/>
      <c r="M81" s="68"/>
      <c r="N81" s="68"/>
      <c r="O81" s="68"/>
    </row>
    <row r="82" spans="1:15" s="17" customFormat="1" x14ac:dyDescent="0.35">
      <c r="A82" s="68"/>
      <c r="B82" s="68"/>
      <c r="C82" s="68"/>
      <c r="D82" s="68"/>
      <c r="E82" s="68"/>
      <c r="F82" s="68"/>
      <c r="G82" s="68"/>
      <c r="H82" s="68"/>
      <c r="I82" s="68"/>
      <c r="J82" s="68"/>
      <c r="K82" s="68"/>
      <c r="L82" s="68"/>
      <c r="M82" s="68"/>
      <c r="N82" s="68"/>
      <c r="O82" s="68"/>
    </row>
    <row r="83" spans="1:15" s="17" customFormat="1" x14ac:dyDescent="0.35">
      <c r="A83" s="68"/>
      <c r="B83" s="68"/>
      <c r="C83" s="68"/>
      <c r="D83" s="68"/>
      <c r="E83" s="68"/>
      <c r="F83" s="68"/>
      <c r="G83" s="68"/>
      <c r="H83" s="68"/>
      <c r="I83" s="68"/>
      <c r="J83" s="68"/>
      <c r="K83" s="68"/>
      <c r="L83" s="68"/>
      <c r="M83" s="68"/>
      <c r="N83" s="68"/>
      <c r="O83" s="68"/>
    </row>
    <row r="84" spans="1:15" s="17" customFormat="1" x14ac:dyDescent="0.35">
      <c r="A84" s="68"/>
      <c r="B84" s="68"/>
      <c r="C84" s="68"/>
      <c r="D84" s="68"/>
      <c r="E84" s="68"/>
      <c r="F84" s="68"/>
      <c r="G84" s="68"/>
      <c r="H84" s="68"/>
      <c r="I84" s="68"/>
      <c r="J84" s="68"/>
      <c r="K84" s="68"/>
      <c r="L84" s="68"/>
      <c r="M84" s="68"/>
      <c r="N84" s="68"/>
      <c r="O84" s="68"/>
    </row>
    <row r="85" spans="1:15" s="17" customFormat="1" x14ac:dyDescent="0.35">
      <c r="A85" s="68"/>
      <c r="B85" s="68"/>
      <c r="C85" s="68"/>
      <c r="D85" s="68"/>
      <c r="E85" s="68"/>
      <c r="F85" s="68"/>
      <c r="G85" s="68"/>
      <c r="H85" s="68"/>
      <c r="I85" s="68"/>
      <c r="J85" s="68"/>
      <c r="K85" s="68"/>
      <c r="L85" s="68"/>
      <c r="M85" s="68"/>
      <c r="N85" s="68"/>
      <c r="O85" s="68"/>
    </row>
    <row r="86" spans="1:15" s="17" customFormat="1" x14ac:dyDescent="0.35">
      <c r="A86" s="68"/>
      <c r="B86" s="68"/>
      <c r="C86" s="68"/>
      <c r="D86" s="68"/>
      <c r="E86" s="68"/>
      <c r="F86" s="68"/>
      <c r="G86" s="68"/>
      <c r="H86" s="68"/>
      <c r="I86" s="68"/>
      <c r="J86" s="68"/>
      <c r="K86" s="68"/>
      <c r="L86" s="68"/>
      <c r="M86" s="68"/>
      <c r="N86" s="68"/>
      <c r="O86" s="68"/>
    </row>
    <row r="87" spans="1:15" s="17" customFormat="1" x14ac:dyDescent="0.35">
      <c r="A87" s="68"/>
      <c r="B87" s="68"/>
      <c r="C87" s="68"/>
      <c r="D87" s="68"/>
      <c r="E87" s="68"/>
      <c r="F87" s="68"/>
      <c r="G87" s="68"/>
      <c r="H87" s="68"/>
      <c r="I87" s="68"/>
      <c r="J87" s="68"/>
      <c r="K87" s="68"/>
      <c r="L87" s="68"/>
      <c r="M87" s="68"/>
      <c r="N87" s="68"/>
      <c r="O87" s="68"/>
    </row>
    <row r="88" spans="1:15" s="17" customFormat="1" x14ac:dyDescent="0.35">
      <c r="A88" s="68"/>
      <c r="B88" s="68"/>
      <c r="C88" s="68"/>
      <c r="D88" s="68"/>
      <c r="E88" s="68"/>
      <c r="F88" s="68"/>
      <c r="G88" s="68"/>
      <c r="H88" s="68"/>
      <c r="I88" s="68"/>
      <c r="J88" s="68"/>
      <c r="K88" s="68"/>
      <c r="L88" s="68"/>
      <c r="M88" s="68"/>
      <c r="N88" s="68"/>
      <c r="O88" s="68"/>
    </row>
    <row r="89" spans="1:15" s="17" customFormat="1" x14ac:dyDescent="0.35">
      <c r="A89" s="68"/>
      <c r="B89" s="68"/>
      <c r="C89" s="68"/>
      <c r="D89" s="68"/>
      <c r="E89" s="68"/>
      <c r="F89" s="68"/>
      <c r="G89" s="68"/>
      <c r="H89" s="68"/>
      <c r="I89" s="68"/>
      <c r="J89" s="68"/>
      <c r="K89" s="68"/>
      <c r="L89" s="68"/>
      <c r="M89" s="68"/>
      <c r="N89" s="68"/>
      <c r="O89" s="68"/>
    </row>
    <row r="90" spans="1:15" s="17" customFormat="1" x14ac:dyDescent="0.35">
      <c r="A90" s="68"/>
      <c r="B90" s="68"/>
      <c r="C90" s="68"/>
      <c r="D90" s="68"/>
      <c r="E90" s="68"/>
      <c r="F90" s="68"/>
      <c r="G90" s="68"/>
      <c r="H90" s="68"/>
      <c r="I90" s="68"/>
      <c r="J90" s="68"/>
      <c r="K90" s="68"/>
      <c r="L90" s="68"/>
      <c r="M90" s="68"/>
      <c r="N90" s="68"/>
      <c r="O90" s="68"/>
    </row>
    <row r="91" spans="1:15" s="17" customFormat="1" x14ac:dyDescent="0.35">
      <c r="A91" s="68"/>
      <c r="B91" s="68"/>
      <c r="C91" s="68"/>
      <c r="D91" s="68"/>
      <c r="E91" s="68"/>
      <c r="F91" s="68"/>
      <c r="G91" s="68"/>
      <c r="H91" s="68"/>
      <c r="I91" s="68"/>
      <c r="J91" s="68"/>
      <c r="K91" s="68"/>
      <c r="L91" s="68"/>
      <c r="M91" s="68"/>
      <c r="N91" s="68"/>
      <c r="O91" s="68"/>
    </row>
    <row r="92" spans="1:15" s="17" customFormat="1" x14ac:dyDescent="0.35">
      <c r="A92" s="68"/>
      <c r="B92" s="68"/>
      <c r="C92" s="68"/>
      <c r="D92" s="68"/>
      <c r="E92" s="68"/>
      <c r="F92" s="68"/>
      <c r="G92" s="68"/>
      <c r="H92" s="68"/>
      <c r="I92" s="68"/>
      <c r="J92" s="68"/>
      <c r="K92" s="68"/>
      <c r="L92" s="68"/>
      <c r="M92" s="68"/>
      <c r="N92" s="68"/>
      <c r="O92" s="68"/>
    </row>
    <row r="93" spans="1:15" s="17" customFormat="1" x14ac:dyDescent="0.35">
      <c r="A93" s="68"/>
      <c r="B93" s="68"/>
      <c r="C93" s="68"/>
      <c r="D93" s="68"/>
      <c r="E93" s="68"/>
      <c r="F93" s="68"/>
      <c r="G93" s="68"/>
      <c r="H93" s="68"/>
      <c r="I93" s="68"/>
      <c r="J93" s="68"/>
      <c r="K93" s="68"/>
      <c r="L93" s="68"/>
      <c r="M93" s="68"/>
      <c r="N93" s="68"/>
      <c r="O93" s="68"/>
    </row>
    <row r="94" spans="1:15" s="17" customFormat="1" x14ac:dyDescent="0.35">
      <c r="A94" s="68"/>
      <c r="B94" s="68"/>
      <c r="C94" s="68"/>
      <c r="D94" s="68"/>
      <c r="E94" s="68"/>
      <c r="F94" s="68"/>
      <c r="G94" s="68"/>
      <c r="H94" s="68"/>
      <c r="I94" s="68"/>
      <c r="J94" s="68"/>
      <c r="K94" s="68"/>
      <c r="L94" s="68"/>
      <c r="M94" s="68"/>
      <c r="N94" s="68"/>
      <c r="O94" s="68"/>
    </row>
    <row r="95" spans="1:15" s="17" customFormat="1" x14ac:dyDescent="0.35">
      <c r="A95" s="68"/>
      <c r="B95" s="68"/>
      <c r="C95" s="68"/>
      <c r="D95" s="68"/>
      <c r="E95" s="68"/>
      <c r="F95" s="68"/>
      <c r="G95" s="68"/>
      <c r="H95" s="68"/>
      <c r="I95" s="68"/>
      <c r="J95" s="68"/>
      <c r="K95" s="68"/>
      <c r="L95" s="68"/>
      <c r="M95" s="68"/>
      <c r="N95" s="68"/>
      <c r="O95" s="68"/>
    </row>
    <row r="96" spans="1:15" s="17" customFormat="1" x14ac:dyDescent="0.35">
      <c r="A96" s="68"/>
      <c r="B96" s="68"/>
      <c r="C96" s="68"/>
      <c r="D96" s="68"/>
      <c r="E96" s="68"/>
      <c r="F96" s="68"/>
      <c r="G96" s="68"/>
      <c r="H96" s="68"/>
      <c r="I96" s="68"/>
      <c r="J96" s="68"/>
      <c r="K96" s="68"/>
      <c r="L96" s="68"/>
      <c r="M96" s="68"/>
      <c r="N96" s="68"/>
      <c r="O96" s="68"/>
    </row>
    <row r="97" spans="1:15" s="17" customFormat="1" x14ac:dyDescent="0.35">
      <c r="A97" s="68"/>
      <c r="B97" s="68"/>
      <c r="C97" s="68"/>
      <c r="D97" s="68"/>
      <c r="E97" s="68"/>
      <c r="F97" s="68"/>
      <c r="G97" s="68"/>
      <c r="H97" s="68"/>
      <c r="I97" s="68"/>
      <c r="J97" s="68"/>
      <c r="K97" s="68"/>
      <c r="L97" s="68"/>
      <c r="M97" s="68"/>
      <c r="N97" s="68"/>
      <c r="O97" s="68"/>
    </row>
    <row r="98" spans="1:15" s="17" customFormat="1" x14ac:dyDescent="0.35">
      <c r="A98" s="68"/>
      <c r="B98" s="68"/>
      <c r="C98" s="68"/>
      <c r="D98" s="68"/>
      <c r="E98" s="68"/>
      <c r="F98" s="68"/>
      <c r="G98" s="68"/>
      <c r="H98" s="68"/>
      <c r="I98" s="68"/>
      <c r="J98" s="68"/>
      <c r="K98" s="68"/>
      <c r="L98" s="68"/>
      <c r="M98" s="68"/>
      <c r="N98" s="68"/>
      <c r="O98" s="68"/>
    </row>
    <row r="99" spans="1:15" s="17" customFormat="1" x14ac:dyDescent="0.35">
      <c r="A99" s="68"/>
      <c r="B99" s="68"/>
      <c r="C99" s="68"/>
      <c r="D99" s="68"/>
      <c r="E99" s="68"/>
      <c r="F99" s="68"/>
      <c r="G99" s="68"/>
      <c r="H99" s="68"/>
      <c r="I99" s="68"/>
      <c r="J99" s="68"/>
      <c r="K99" s="68"/>
      <c r="L99" s="68"/>
      <c r="M99" s="68"/>
      <c r="N99" s="68"/>
      <c r="O99" s="68"/>
    </row>
    <row r="100" spans="1:15" s="17" customFormat="1" x14ac:dyDescent="0.35">
      <c r="A100" s="68"/>
      <c r="B100" s="68"/>
      <c r="C100" s="68"/>
      <c r="D100" s="68"/>
      <c r="E100" s="68"/>
      <c r="F100" s="68"/>
      <c r="G100" s="68"/>
      <c r="H100" s="68"/>
      <c r="I100" s="68"/>
      <c r="J100" s="68"/>
      <c r="K100" s="68"/>
      <c r="L100" s="68"/>
      <c r="M100" s="68"/>
      <c r="N100" s="68"/>
      <c r="O100" s="68"/>
    </row>
    <row r="101" spans="1:15" s="17" customFormat="1" x14ac:dyDescent="0.35">
      <c r="A101" s="68"/>
      <c r="B101" s="68"/>
      <c r="C101" s="68"/>
      <c r="D101" s="68"/>
      <c r="E101" s="68"/>
      <c r="F101" s="68"/>
      <c r="G101" s="68"/>
      <c r="H101" s="68"/>
      <c r="I101" s="68"/>
      <c r="J101" s="68"/>
      <c r="K101" s="68"/>
      <c r="L101" s="68"/>
      <c r="M101" s="68"/>
      <c r="N101" s="68"/>
      <c r="O101" s="68"/>
    </row>
    <row r="102" spans="1:15" s="17" customFormat="1" x14ac:dyDescent="0.35">
      <c r="A102" s="68"/>
      <c r="B102" s="68"/>
      <c r="C102" s="68"/>
      <c r="D102" s="68"/>
      <c r="E102" s="68"/>
      <c r="F102" s="68"/>
      <c r="G102" s="68"/>
      <c r="H102" s="68"/>
      <c r="I102" s="68"/>
      <c r="J102" s="68"/>
      <c r="K102" s="68"/>
      <c r="L102" s="68"/>
      <c r="M102" s="68"/>
      <c r="N102" s="68"/>
      <c r="O102" s="68"/>
    </row>
    <row r="103" spans="1:15" s="17" customFormat="1" x14ac:dyDescent="0.35">
      <c r="A103" s="68"/>
      <c r="B103" s="68"/>
      <c r="C103" s="68"/>
      <c r="D103" s="68"/>
      <c r="E103" s="68"/>
      <c r="F103" s="68"/>
      <c r="G103" s="68"/>
      <c r="H103" s="68"/>
      <c r="I103" s="68"/>
      <c r="J103" s="68"/>
      <c r="K103" s="68"/>
      <c r="L103" s="68"/>
      <c r="M103" s="68"/>
      <c r="N103" s="68"/>
      <c r="O103" s="68"/>
    </row>
    <row r="104" spans="1:15" s="17" customFormat="1" x14ac:dyDescent="0.35">
      <c r="A104" s="68"/>
      <c r="B104" s="68"/>
      <c r="C104" s="68"/>
      <c r="D104" s="68"/>
      <c r="E104" s="68"/>
      <c r="F104" s="68"/>
      <c r="G104" s="68"/>
      <c r="H104" s="68"/>
      <c r="I104" s="68"/>
      <c r="J104" s="68"/>
      <c r="K104" s="68"/>
      <c r="L104" s="68"/>
      <c r="M104" s="68"/>
      <c r="N104" s="68"/>
      <c r="O104" s="68"/>
    </row>
    <row r="105" spans="1:15" s="17" customFormat="1" x14ac:dyDescent="0.35">
      <c r="A105" s="68"/>
      <c r="B105" s="68"/>
      <c r="C105" s="68"/>
      <c r="D105" s="68"/>
      <c r="E105" s="68"/>
      <c r="F105" s="68"/>
      <c r="G105" s="68"/>
      <c r="H105" s="68"/>
      <c r="I105" s="68"/>
      <c r="J105" s="68"/>
      <c r="K105" s="68"/>
      <c r="L105" s="68"/>
      <c r="M105" s="68"/>
      <c r="N105" s="68"/>
      <c r="O105" s="68"/>
    </row>
    <row r="106" spans="1:15" s="17" customFormat="1" x14ac:dyDescent="0.35">
      <c r="A106" s="68"/>
      <c r="B106" s="68"/>
      <c r="C106" s="68"/>
      <c r="D106" s="68"/>
      <c r="E106" s="68"/>
      <c r="F106" s="68"/>
      <c r="G106" s="68"/>
      <c r="H106" s="68"/>
      <c r="I106" s="68"/>
      <c r="J106" s="68"/>
      <c r="K106" s="68"/>
      <c r="L106" s="68"/>
      <c r="M106" s="68"/>
      <c r="N106" s="68"/>
      <c r="O106" s="68"/>
    </row>
    <row r="107" spans="1:15" s="17" customFormat="1" x14ac:dyDescent="0.35">
      <c r="A107" s="68"/>
      <c r="B107" s="68"/>
      <c r="C107" s="68"/>
      <c r="D107" s="68"/>
      <c r="E107" s="68"/>
      <c r="F107" s="68"/>
      <c r="G107" s="68"/>
      <c r="H107" s="68"/>
      <c r="I107" s="68"/>
      <c r="J107" s="68"/>
      <c r="K107" s="68"/>
      <c r="L107" s="68"/>
      <c r="M107" s="68"/>
      <c r="N107" s="68"/>
      <c r="O107" s="68"/>
    </row>
    <row r="108" spans="1:15" s="17" customFormat="1" x14ac:dyDescent="0.35">
      <c r="A108" s="68"/>
      <c r="B108" s="68"/>
      <c r="C108" s="68"/>
      <c r="D108" s="68"/>
      <c r="E108" s="68"/>
      <c r="F108" s="68"/>
      <c r="G108" s="68"/>
      <c r="H108" s="68"/>
      <c r="I108" s="68"/>
      <c r="J108" s="68"/>
      <c r="K108" s="68"/>
      <c r="L108" s="68"/>
      <c r="M108" s="68"/>
      <c r="N108" s="68"/>
      <c r="O108" s="68"/>
    </row>
    <row r="109" spans="1:15" s="17" customFormat="1" x14ac:dyDescent="0.35">
      <c r="A109" s="68"/>
      <c r="B109" s="68"/>
      <c r="C109" s="68"/>
      <c r="D109" s="68"/>
      <c r="E109" s="68"/>
      <c r="F109" s="68"/>
      <c r="G109" s="68"/>
      <c r="H109" s="68"/>
      <c r="I109" s="68"/>
      <c r="J109" s="68"/>
      <c r="K109" s="68"/>
      <c r="L109" s="68"/>
      <c r="M109" s="68"/>
      <c r="N109" s="68"/>
      <c r="O109" s="68"/>
    </row>
    <row r="110" spans="1:15" s="17" customFormat="1" x14ac:dyDescent="0.35">
      <c r="A110" s="68"/>
      <c r="B110" s="68"/>
      <c r="C110" s="68"/>
      <c r="D110" s="68"/>
      <c r="E110" s="68"/>
      <c r="F110" s="68"/>
      <c r="G110" s="68"/>
      <c r="H110" s="68"/>
      <c r="I110" s="68"/>
      <c r="J110" s="68"/>
      <c r="K110" s="68"/>
      <c r="L110" s="68"/>
      <c r="M110" s="68"/>
      <c r="N110" s="68"/>
      <c r="O110" s="68"/>
    </row>
    <row r="111" spans="1:15" s="17" customFormat="1" x14ac:dyDescent="0.35">
      <c r="A111" s="68"/>
      <c r="B111" s="68"/>
      <c r="C111" s="68"/>
      <c r="D111" s="68"/>
      <c r="E111" s="68"/>
      <c r="F111" s="68"/>
      <c r="G111" s="68"/>
      <c r="H111" s="68"/>
      <c r="I111" s="68"/>
      <c r="J111" s="68"/>
      <c r="K111" s="68"/>
      <c r="L111" s="68"/>
      <c r="M111" s="68"/>
      <c r="N111" s="68"/>
      <c r="O111" s="68"/>
    </row>
    <row r="112" spans="1:15" s="17" customFormat="1" x14ac:dyDescent="0.35">
      <c r="A112" s="68"/>
      <c r="B112" s="68"/>
      <c r="C112" s="68"/>
      <c r="D112" s="68"/>
      <c r="E112" s="68"/>
      <c r="F112" s="68"/>
      <c r="G112" s="68"/>
      <c r="H112" s="68"/>
      <c r="I112" s="68"/>
      <c r="J112" s="68"/>
      <c r="K112" s="68"/>
      <c r="L112" s="68"/>
      <c r="M112" s="68"/>
      <c r="N112" s="68"/>
      <c r="O112" s="68"/>
    </row>
    <row r="113" spans="1:15" s="17" customFormat="1" x14ac:dyDescent="0.35">
      <c r="A113" s="68"/>
      <c r="B113" s="68"/>
      <c r="C113" s="68"/>
      <c r="D113" s="68"/>
      <c r="E113" s="68"/>
      <c r="F113" s="68"/>
      <c r="G113" s="68"/>
      <c r="H113" s="68"/>
      <c r="I113" s="68"/>
      <c r="J113" s="68"/>
      <c r="K113" s="68"/>
      <c r="L113" s="68"/>
      <c r="M113" s="68"/>
      <c r="N113" s="68"/>
      <c r="O113" s="68"/>
    </row>
    <row r="114" spans="1:15" s="17" customFormat="1" x14ac:dyDescent="0.35">
      <c r="A114" s="68"/>
      <c r="B114" s="68"/>
      <c r="C114" s="68"/>
      <c r="D114" s="68"/>
      <c r="E114" s="68"/>
      <c r="F114" s="68"/>
      <c r="G114" s="68"/>
      <c r="H114" s="68"/>
      <c r="I114" s="68"/>
      <c r="J114" s="68"/>
      <c r="K114" s="68"/>
      <c r="L114" s="68"/>
      <c r="M114" s="68"/>
      <c r="N114" s="68"/>
      <c r="O114" s="68"/>
    </row>
    <row r="115" spans="1:15" s="17" customFormat="1" x14ac:dyDescent="0.35">
      <c r="A115" s="68"/>
      <c r="B115" s="68"/>
      <c r="C115" s="68"/>
      <c r="D115" s="68"/>
      <c r="E115" s="68"/>
      <c r="F115" s="68"/>
      <c r="G115" s="68"/>
      <c r="H115" s="68"/>
      <c r="I115" s="68"/>
      <c r="J115" s="68"/>
      <c r="K115" s="68"/>
      <c r="L115" s="68"/>
      <c r="M115" s="68"/>
      <c r="N115" s="68"/>
      <c r="O115" s="68"/>
    </row>
    <row r="116" spans="1:15" s="17" customFormat="1" x14ac:dyDescent="0.35">
      <c r="A116" s="68"/>
      <c r="B116" s="68"/>
      <c r="C116" s="68"/>
      <c r="D116" s="68"/>
      <c r="E116" s="68"/>
      <c r="F116" s="68"/>
      <c r="G116" s="68"/>
      <c r="H116" s="68"/>
      <c r="I116" s="68"/>
      <c r="J116" s="68"/>
      <c r="K116" s="68"/>
      <c r="L116" s="68"/>
      <c r="M116" s="68"/>
      <c r="N116" s="68"/>
      <c r="O116" s="68"/>
    </row>
    <row r="117" spans="1:15" s="17" customFormat="1" x14ac:dyDescent="0.35">
      <c r="A117" s="68"/>
      <c r="B117" s="68"/>
      <c r="C117" s="68"/>
      <c r="D117" s="68"/>
      <c r="E117" s="68"/>
      <c r="F117" s="68"/>
      <c r="G117" s="68"/>
      <c r="H117" s="68"/>
      <c r="I117" s="68"/>
      <c r="J117" s="68"/>
      <c r="K117" s="68"/>
      <c r="L117" s="68"/>
      <c r="M117" s="68"/>
      <c r="N117" s="68"/>
      <c r="O117" s="68"/>
    </row>
    <row r="118" spans="1:15" s="17" customFormat="1" x14ac:dyDescent="0.35">
      <c r="A118" s="68"/>
      <c r="B118" s="68"/>
      <c r="C118" s="68"/>
      <c r="D118" s="68"/>
      <c r="E118" s="68"/>
      <c r="F118" s="68"/>
      <c r="G118" s="68"/>
      <c r="H118" s="68"/>
      <c r="I118" s="68"/>
      <c r="J118" s="68"/>
      <c r="K118" s="68"/>
      <c r="L118" s="68"/>
      <c r="M118" s="68"/>
      <c r="N118" s="68"/>
      <c r="O118" s="68"/>
    </row>
    <row r="119" spans="1:15" s="17" customFormat="1" x14ac:dyDescent="0.35">
      <c r="A119" s="68"/>
      <c r="B119" s="68"/>
      <c r="C119" s="68"/>
      <c r="D119" s="68"/>
      <c r="E119" s="68"/>
      <c r="F119" s="68"/>
      <c r="G119" s="68"/>
      <c r="H119" s="68"/>
      <c r="I119" s="68"/>
      <c r="J119" s="68"/>
      <c r="K119" s="68"/>
      <c r="L119" s="68"/>
      <c r="M119" s="68"/>
      <c r="N119" s="68"/>
      <c r="O119" s="68"/>
    </row>
    <row r="120" spans="1:15" s="17" customFormat="1" x14ac:dyDescent="0.35">
      <c r="A120" s="68"/>
      <c r="B120" s="68"/>
      <c r="C120" s="68"/>
      <c r="D120" s="68"/>
      <c r="E120" s="68"/>
      <c r="F120" s="68"/>
      <c r="G120" s="68"/>
      <c r="H120" s="68"/>
      <c r="I120" s="68"/>
      <c r="J120" s="68"/>
      <c r="K120" s="68"/>
      <c r="L120" s="68"/>
      <c r="M120" s="68"/>
      <c r="N120" s="68"/>
      <c r="O120" s="68"/>
    </row>
    <row r="121" spans="1:15" s="17" customFormat="1" x14ac:dyDescent="0.35">
      <c r="A121" s="68"/>
      <c r="B121" s="68"/>
      <c r="C121" s="68"/>
      <c r="D121" s="68"/>
      <c r="E121" s="68"/>
      <c r="F121" s="68"/>
      <c r="G121" s="68"/>
      <c r="H121" s="68"/>
      <c r="I121" s="68"/>
      <c r="J121" s="68"/>
      <c r="K121" s="68"/>
      <c r="L121" s="68"/>
      <c r="M121" s="68"/>
      <c r="N121" s="68"/>
      <c r="O121" s="68"/>
    </row>
    <row r="122" spans="1:15" s="17" customFormat="1" x14ac:dyDescent="0.35">
      <c r="A122" s="68"/>
      <c r="B122" s="68"/>
      <c r="C122" s="68"/>
      <c r="D122" s="68"/>
      <c r="E122" s="68"/>
      <c r="F122" s="68"/>
      <c r="G122" s="68"/>
      <c r="H122" s="68"/>
      <c r="I122" s="68"/>
      <c r="J122" s="68"/>
      <c r="K122" s="68"/>
      <c r="L122" s="68"/>
      <c r="M122" s="68"/>
      <c r="N122" s="68"/>
      <c r="O122" s="68"/>
    </row>
    <row r="123" spans="1:15" s="17" customFormat="1" x14ac:dyDescent="0.35">
      <c r="A123" s="68"/>
      <c r="B123" s="68"/>
      <c r="C123" s="68"/>
      <c r="D123" s="68"/>
      <c r="E123" s="68"/>
      <c r="F123" s="68"/>
      <c r="G123" s="68"/>
      <c r="H123" s="68"/>
      <c r="I123" s="68"/>
      <c r="J123" s="68"/>
      <c r="K123" s="68"/>
      <c r="L123" s="68"/>
      <c r="M123" s="68"/>
      <c r="N123" s="68"/>
      <c r="O123" s="68"/>
    </row>
    <row r="124" spans="1:15" s="17" customFormat="1" x14ac:dyDescent="0.35">
      <c r="A124" s="68"/>
      <c r="B124" s="68"/>
      <c r="C124" s="68"/>
      <c r="D124" s="68"/>
      <c r="E124" s="68"/>
      <c r="F124" s="68"/>
      <c r="G124" s="68"/>
      <c r="H124" s="68"/>
      <c r="I124" s="68"/>
      <c r="J124" s="68"/>
      <c r="K124" s="68"/>
      <c r="L124" s="68"/>
      <c r="M124" s="68"/>
      <c r="N124" s="68"/>
      <c r="O124" s="68"/>
    </row>
    <row r="125" spans="1:15" s="17" customFormat="1" x14ac:dyDescent="0.35">
      <c r="A125" s="68"/>
      <c r="B125" s="68"/>
      <c r="C125" s="68"/>
      <c r="D125" s="68"/>
      <c r="E125" s="68"/>
      <c r="F125" s="68"/>
      <c r="G125" s="68"/>
      <c r="H125" s="68"/>
      <c r="I125" s="68"/>
      <c r="J125" s="68"/>
      <c r="K125" s="68"/>
      <c r="L125" s="68"/>
      <c r="M125" s="68"/>
      <c r="N125" s="68"/>
      <c r="O125" s="68"/>
    </row>
    <row r="126" spans="1:15" s="17" customFormat="1" x14ac:dyDescent="0.35">
      <c r="A126" s="68"/>
      <c r="B126" s="68"/>
      <c r="C126" s="68"/>
      <c r="D126" s="68"/>
      <c r="E126" s="68"/>
      <c r="F126" s="68"/>
      <c r="G126" s="68"/>
      <c r="H126" s="68"/>
      <c r="I126" s="68"/>
      <c r="J126" s="68"/>
      <c r="K126" s="68"/>
      <c r="L126" s="68"/>
      <c r="M126" s="68"/>
      <c r="N126" s="68"/>
      <c r="O126" s="68"/>
    </row>
    <row r="127" spans="1:15" s="17" customFormat="1" x14ac:dyDescent="0.35">
      <c r="A127" s="68"/>
      <c r="B127" s="68"/>
      <c r="C127" s="68"/>
      <c r="D127" s="68"/>
      <c r="E127" s="68"/>
      <c r="F127" s="68"/>
      <c r="G127" s="68"/>
      <c r="H127" s="68"/>
      <c r="I127" s="68"/>
      <c r="J127" s="68"/>
      <c r="K127" s="68"/>
      <c r="L127" s="68"/>
      <c r="M127" s="68"/>
      <c r="N127" s="68"/>
      <c r="O127" s="68"/>
    </row>
    <row r="128" spans="1:15" s="17" customFormat="1" x14ac:dyDescent="0.35">
      <c r="A128" s="68"/>
      <c r="B128" s="68"/>
      <c r="C128" s="68"/>
      <c r="D128" s="68"/>
      <c r="E128" s="68"/>
      <c r="F128" s="68"/>
      <c r="G128" s="68"/>
      <c r="H128" s="68"/>
      <c r="I128" s="68"/>
      <c r="J128" s="68"/>
      <c r="K128" s="68"/>
      <c r="L128" s="68"/>
      <c r="M128" s="68"/>
      <c r="N128" s="68"/>
      <c r="O128" s="68"/>
    </row>
    <row r="129" spans="1:15" s="17" customFormat="1" x14ac:dyDescent="0.35">
      <c r="A129" s="68"/>
      <c r="B129" s="68"/>
      <c r="C129" s="68"/>
      <c r="D129" s="68"/>
      <c r="E129" s="68"/>
      <c r="F129" s="68"/>
      <c r="G129" s="68"/>
      <c r="H129" s="68"/>
      <c r="I129" s="68"/>
      <c r="J129" s="68"/>
      <c r="K129" s="68"/>
      <c r="L129" s="68"/>
      <c r="M129" s="68"/>
      <c r="N129" s="68"/>
      <c r="O129" s="68"/>
    </row>
    <row r="130" spans="1:15" s="17" customFormat="1" x14ac:dyDescent="0.35">
      <c r="A130" s="68"/>
      <c r="B130" s="68"/>
      <c r="C130" s="68"/>
      <c r="D130" s="68"/>
      <c r="E130" s="68"/>
      <c r="F130" s="68"/>
      <c r="G130" s="68"/>
      <c r="H130" s="68"/>
      <c r="I130" s="68"/>
      <c r="J130" s="68"/>
      <c r="K130" s="68"/>
      <c r="L130" s="68"/>
      <c r="M130" s="68"/>
      <c r="N130" s="68"/>
      <c r="O130" s="68"/>
    </row>
    <row r="131" spans="1:15" s="17" customFormat="1" x14ac:dyDescent="0.35">
      <c r="A131" s="68"/>
      <c r="B131" s="68"/>
      <c r="C131" s="68"/>
      <c r="D131" s="68"/>
      <c r="E131" s="68"/>
      <c r="F131" s="68"/>
      <c r="G131" s="68"/>
      <c r="H131" s="68"/>
      <c r="I131" s="68"/>
      <c r="J131" s="68"/>
      <c r="K131" s="68"/>
      <c r="L131" s="68"/>
      <c r="M131" s="68"/>
      <c r="N131" s="68"/>
      <c r="O131" s="68"/>
    </row>
    <row r="132" spans="1:15" s="17" customFormat="1" x14ac:dyDescent="0.35">
      <c r="A132" s="68"/>
      <c r="B132" s="68"/>
      <c r="C132" s="68"/>
      <c r="D132" s="68"/>
      <c r="E132" s="68"/>
      <c r="F132" s="68"/>
      <c r="G132" s="68"/>
      <c r="H132" s="68"/>
      <c r="I132" s="68"/>
      <c r="J132" s="68"/>
      <c r="K132" s="68"/>
      <c r="L132" s="68"/>
      <c r="M132" s="68"/>
      <c r="N132" s="68"/>
      <c r="O132" s="68"/>
    </row>
    <row r="133" spans="1:15" s="17" customFormat="1" x14ac:dyDescent="0.35">
      <c r="A133" s="68"/>
      <c r="B133" s="68"/>
      <c r="C133" s="68"/>
      <c r="D133" s="68"/>
      <c r="E133" s="68"/>
      <c r="F133" s="68"/>
      <c r="G133" s="68"/>
      <c r="H133" s="68"/>
      <c r="I133" s="68"/>
      <c r="J133" s="68"/>
      <c r="K133" s="68"/>
      <c r="L133" s="68"/>
      <c r="M133" s="68"/>
      <c r="N133" s="68"/>
      <c r="O133" s="68"/>
    </row>
    <row r="134" spans="1:15" s="17" customFormat="1" x14ac:dyDescent="0.35">
      <c r="A134" s="68"/>
      <c r="B134" s="68"/>
      <c r="C134" s="68"/>
      <c r="D134" s="68"/>
      <c r="E134" s="68"/>
      <c r="F134" s="68"/>
      <c r="G134" s="68"/>
      <c r="H134" s="68"/>
      <c r="I134" s="68"/>
      <c r="J134" s="68"/>
      <c r="K134" s="68"/>
      <c r="L134" s="68"/>
      <c r="M134" s="68"/>
      <c r="N134" s="68"/>
      <c r="O134" s="68"/>
    </row>
    <row r="135" spans="1:15" s="17" customFormat="1" x14ac:dyDescent="0.35">
      <c r="A135" s="68"/>
      <c r="B135" s="68"/>
      <c r="C135" s="68"/>
      <c r="D135" s="68"/>
      <c r="E135" s="68"/>
      <c r="F135" s="68"/>
      <c r="G135" s="68"/>
      <c r="H135" s="68"/>
      <c r="I135" s="68"/>
      <c r="J135" s="68"/>
      <c r="K135" s="68"/>
      <c r="L135" s="68"/>
      <c r="M135" s="68"/>
      <c r="N135" s="68"/>
      <c r="O135" s="68"/>
    </row>
    <row r="136" spans="1:15" s="17" customFormat="1" x14ac:dyDescent="0.35">
      <c r="A136" s="68"/>
      <c r="B136" s="68"/>
      <c r="C136" s="68"/>
      <c r="D136" s="68"/>
      <c r="E136" s="68"/>
      <c r="F136" s="68"/>
      <c r="G136" s="68"/>
      <c r="H136" s="68"/>
      <c r="I136" s="68"/>
      <c r="J136" s="68"/>
      <c r="K136" s="68"/>
      <c r="L136" s="68"/>
      <c r="M136" s="68"/>
      <c r="N136" s="68"/>
      <c r="O136" s="68"/>
    </row>
    <row r="137" spans="1:15" s="17" customFormat="1" x14ac:dyDescent="0.35">
      <c r="A137" s="68"/>
      <c r="B137" s="68"/>
      <c r="C137" s="68"/>
      <c r="D137" s="68"/>
      <c r="E137" s="68"/>
      <c r="F137" s="68"/>
      <c r="G137" s="68"/>
      <c r="H137" s="68"/>
      <c r="I137" s="68"/>
      <c r="J137" s="68"/>
      <c r="K137" s="68"/>
      <c r="L137" s="68"/>
      <c r="M137" s="68"/>
      <c r="N137" s="68"/>
      <c r="O137" s="68"/>
    </row>
    <row r="138" spans="1:15" s="17" customFormat="1" x14ac:dyDescent="0.35">
      <c r="A138" s="68"/>
      <c r="B138" s="68"/>
      <c r="C138" s="68"/>
      <c r="D138" s="68"/>
      <c r="E138" s="68"/>
      <c r="F138" s="68"/>
      <c r="G138" s="68"/>
      <c r="H138" s="68"/>
      <c r="I138" s="68"/>
      <c r="J138" s="68"/>
      <c r="K138" s="68"/>
      <c r="L138" s="68"/>
      <c r="M138" s="68"/>
      <c r="N138" s="68"/>
      <c r="O138" s="68"/>
    </row>
    <row r="139" spans="1:15" s="17" customFormat="1" x14ac:dyDescent="0.35">
      <c r="A139" s="68"/>
      <c r="B139" s="68"/>
      <c r="C139" s="68"/>
      <c r="D139" s="68"/>
      <c r="E139" s="68"/>
      <c r="F139" s="68"/>
      <c r="G139" s="68"/>
      <c r="H139" s="68"/>
      <c r="I139" s="68"/>
      <c r="J139" s="68"/>
      <c r="K139" s="68"/>
      <c r="L139" s="68"/>
      <c r="M139" s="68"/>
      <c r="N139" s="68"/>
      <c r="O139" s="68"/>
    </row>
    <row r="140" spans="1:15" s="17" customFormat="1" x14ac:dyDescent="0.35">
      <c r="A140" s="68"/>
      <c r="B140" s="68"/>
      <c r="C140" s="68"/>
      <c r="D140" s="68"/>
      <c r="E140" s="68"/>
      <c r="F140" s="68"/>
      <c r="G140" s="68"/>
      <c r="H140" s="68"/>
      <c r="I140" s="68"/>
      <c r="J140" s="68"/>
      <c r="K140" s="68"/>
      <c r="L140" s="68"/>
      <c r="M140" s="68"/>
      <c r="N140" s="68"/>
      <c r="O140" s="68"/>
    </row>
    <row r="141" spans="1:15" s="17" customFormat="1" x14ac:dyDescent="0.35">
      <c r="A141" s="68"/>
      <c r="B141" s="68"/>
      <c r="C141" s="68"/>
      <c r="D141" s="68"/>
      <c r="E141" s="68"/>
      <c r="F141" s="68"/>
      <c r="G141" s="68"/>
      <c r="H141" s="68"/>
      <c r="I141" s="68"/>
      <c r="J141" s="68"/>
      <c r="K141" s="68"/>
      <c r="L141" s="68"/>
      <c r="M141" s="68"/>
      <c r="N141" s="68"/>
      <c r="O141" s="68"/>
    </row>
    <row r="142" spans="1:15" s="17" customFormat="1" x14ac:dyDescent="0.35">
      <c r="A142" s="68"/>
      <c r="B142" s="68"/>
      <c r="C142" s="68"/>
      <c r="D142" s="68"/>
      <c r="E142" s="68"/>
      <c r="F142" s="68"/>
      <c r="G142" s="68"/>
      <c r="H142" s="68"/>
      <c r="I142" s="68"/>
      <c r="J142" s="68"/>
      <c r="K142" s="68"/>
      <c r="L142" s="68"/>
      <c r="M142" s="68"/>
      <c r="N142" s="68"/>
      <c r="O142" s="68"/>
    </row>
    <row r="143" spans="1:15" s="17" customFormat="1" x14ac:dyDescent="0.35">
      <c r="A143" s="68"/>
      <c r="B143" s="68"/>
      <c r="C143" s="68"/>
      <c r="D143" s="68"/>
      <c r="E143" s="68"/>
      <c r="F143" s="68"/>
      <c r="G143" s="68"/>
      <c r="H143" s="68"/>
      <c r="I143" s="68"/>
      <c r="J143" s="68"/>
      <c r="K143" s="68"/>
      <c r="L143" s="68"/>
      <c r="M143" s="68"/>
      <c r="N143" s="68"/>
      <c r="O143" s="68"/>
    </row>
    <row r="144" spans="1:15" s="17" customFormat="1" x14ac:dyDescent="0.35">
      <c r="A144" s="68"/>
      <c r="B144" s="68"/>
      <c r="C144" s="68"/>
      <c r="D144" s="68"/>
      <c r="E144" s="68"/>
      <c r="F144" s="68"/>
      <c r="G144" s="68"/>
      <c r="H144" s="68"/>
      <c r="I144" s="68"/>
      <c r="J144" s="68"/>
      <c r="K144" s="68"/>
      <c r="L144" s="68"/>
      <c r="M144" s="68"/>
      <c r="N144" s="68"/>
      <c r="O144" s="68"/>
    </row>
    <row r="145" spans="1:15" s="17" customFormat="1" x14ac:dyDescent="0.35">
      <c r="A145" s="68"/>
      <c r="B145" s="68"/>
      <c r="C145" s="68"/>
      <c r="D145" s="68"/>
      <c r="E145" s="68"/>
      <c r="F145" s="68"/>
      <c r="G145" s="68"/>
      <c r="H145" s="68"/>
      <c r="I145" s="68"/>
      <c r="J145" s="68"/>
      <c r="K145" s="68"/>
      <c r="L145" s="68"/>
      <c r="M145" s="68"/>
      <c r="N145" s="68"/>
      <c r="O145" s="68"/>
    </row>
    <row r="146" spans="1:15" s="17" customFormat="1" x14ac:dyDescent="0.35">
      <c r="A146" s="68"/>
      <c r="B146" s="68"/>
      <c r="C146" s="68"/>
      <c r="D146" s="68"/>
      <c r="E146" s="68"/>
      <c r="F146" s="68"/>
      <c r="G146" s="68"/>
      <c r="H146" s="68"/>
      <c r="I146" s="68"/>
      <c r="J146" s="68"/>
      <c r="K146" s="68"/>
      <c r="L146" s="68"/>
      <c r="M146" s="68"/>
      <c r="N146" s="68"/>
      <c r="O146" s="68"/>
    </row>
    <row r="147" spans="1:15" s="17" customFormat="1" x14ac:dyDescent="0.35">
      <c r="A147" s="68"/>
      <c r="B147" s="68"/>
      <c r="C147" s="68"/>
      <c r="D147" s="68"/>
      <c r="E147" s="68"/>
      <c r="F147" s="68"/>
      <c r="G147" s="68"/>
      <c r="H147" s="68"/>
      <c r="I147" s="68"/>
      <c r="J147" s="68"/>
      <c r="K147" s="68"/>
      <c r="L147" s="68"/>
      <c r="M147" s="68"/>
      <c r="N147" s="68"/>
      <c r="O147" s="68"/>
    </row>
    <row r="148" spans="1:15" s="17" customFormat="1" x14ac:dyDescent="0.35">
      <c r="A148" s="69"/>
      <c r="B148" s="68"/>
      <c r="C148" s="68"/>
      <c r="D148" s="68"/>
      <c r="E148" s="68"/>
      <c r="F148" s="68"/>
      <c r="G148" s="68"/>
      <c r="H148" s="68"/>
      <c r="I148" s="68"/>
      <c r="J148" s="68"/>
      <c r="K148" s="68"/>
      <c r="L148" s="68"/>
      <c r="M148" s="68"/>
      <c r="N148" s="68"/>
      <c r="O148" s="68"/>
    </row>
    <row r="149" spans="1:15" s="17" customFormat="1" x14ac:dyDescent="0.35">
      <c r="A149" s="68"/>
      <c r="B149" s="68"/>
      <c r="C149" s="68"/>
      <c r="D149" s="68"/>
      <c r="E149" s="68"/>
      <c r="F149" s="68"/>
      <c r="G149" s="68"/>
      <c r="H149" s="68"/>
      <c r="I149" s="68"/>
      <c r="J149" s="68"/>
      <c r="K149" s="68"/>
      <c r="L149" s="68"/>
      <c r="M149" s="68"/>
      <c r="N149" s="68"/>
      <c r="O149" s="68"/>
    </row>
    <row r="150" spans="1:15" s="17" customFormat="1" x14ac:dyDescent="0.35">
      <c r="A150" s="68"/>
      <c r="B150" s="68"/>
      <c r="C150" s="68"/>
      <c r="D150" s="68"/>
      <c r="E150" s="68"/>
      <c r="F150" s="68"/>
      <c r="G150" s="68"/>
      <c r="H150" s="68"/>
      <c r="I150" s="68"/>
      <c r="J150" s="68"/>
      <c r="K150" s="68"/>
      <c r="L150" s="68"/>
      <c r="M150" s="68"/>
      <c r="N150" s="68"/>
      <c r="O150" s="68"/>
    </row>
    <row r="151" spans="1:15" s="17" customFormat="1" x14ac:dyDescent="0.35">
      <c r="A151" s="68"/>
      <c r="B151" s="68"/>
      <c r="C151" s="68"/>
      <c r="D151" s="68"/>
      <c r="E151" s="68"/>
      <c r="F151" s="68"/>
      <c r="G151" s="68"/>
      <c r="H151" s="68"/>
      <c r="I151" s="68"/>
      <c r="J151" s="68"/>
      <c r="K151" s="68"/>
      <c r="L151" s="68"/>
      <c r="M151" s="68"/>
      <c r="N151" s="68"/>
      <c r="O151" s="68"/>
    </row>
    <row r="152" spans="1:15" s="17" customFormat="1" x14ac:dyDescent="0.35">
      <c r="A152" s="68"/>
      <c r="B152" s="68"/>
      <c r="C152" s="68"/>
      <c r="D152" s="68"/>
      <c r="E152" s="68"/>
      <c r="F152" s="68"/>
      <c r="G152" s="68"/>
      <c r="H152" s="68"/>
      <c r="I152" s="68"/>
      <c r="J152" s="68"/>
      <c r="K152" s="68"/>
      <c r="L152" s="68"/>
      <c r="M152" s="68"/>
      <c r="N152" s="68"/>
      <c r="O152" s="68"/>
    </row>
    <row r="153" spans="1:15" s="17" customFormat="1" x14ac:dyDescent="0.35">
      <c r="A153" s="68"/>
      <c r="B153" s="68"/>
      <c r="C153" s="68"/>
      <c r="D153" s="68"/>
      <c r="E153" s="68"/>
      <c r="F153" s="68"/>
      <c r="G153" s="68"/>
      <c r="H153" s="68"/>
      <c r="I153" s="68"/>
      <c r="J153" s="68"/>
      <c r="K153" s="68"/>
      <c r="L153" s="68"/>
      <c r="M153" s="68"/>
      <c r="N153" s="68"/>
      <c r="O153" s="68"/>
    </row>
    <row r="154" spans="1:15" s="17" customFormat="1" x14ac:dyDescent="0.35">
      <c r="A154" s="68"/>
      <c r="B154" s="68"/>
      <c r="C154" s="68"/>
      <c r="D154" s="68"/>
      <c r="E154" s="68"/>
      <c r="F154" s="68"/>
      <c r="G154" s="68"/>
      <c r="H154" s="68"/>
      <c r="I154" s="68"/>
      <c r="J154" s="68"/>
      <c r="K154" s="68"/>
      <c r="L154" s="68"/>
      <c r="M154" s="68"/>
      <c r="N154" s="68"/>
      <c r="O154" s="68"/>
    </row>
    <row r="155" spans="1:15" s="17" customFormat="1" x14ac:dyDescent="0.35">
      <c r="A155" s="147"/>
      <c r="B155" s="149">
        <f>+'MTX PRECIOS'!B103</f>
        <v>45807</v>
      </c>
      <c r="C155" s="149">
        <f>+'MTX PRECIOS'!B104</f>
        <v>45838</v>
      </c>
      <c r="D155" s="149">
        <f>+'MTX PRECIOS'!B105</f>
        <v>45869</v>
      </c>
      <c r="E155" s="149">
        <f>+'MTX PRECIOS'!B106</f>
        <v>45898</v>
      </c>
      <c r="F155" s="149">
        <f>+'MTX PRECIOS'!B107</f>
        <v>45930</v>
      </c>
      <c r="G155" s="149">
        <f>+'MTX PRECIOS'!B108</f>
        <v>45961</v>
      </c>
      <c r="H155" s="149">
        <f>+'MTX PRECIOS'!B109</f>
        <v>45989</v>
      </c>
      <c r="I155" s="149">
        <f>+'MTX PRECIOS'!B110</f>
        <v>46022</v>
      </c>
      <c r="J155" s="149">
        <f>+'MTX PRECIOS'!B111</f>
        <v>46052</v>
      </c>
      <c r="K155" s="149">
        <f>+'MTX PRECIOS'!B112</f>
        <v>46080</v>
      </c>
      <c r="L155" s="149">
        <f>+'MTX PRECIOS'!B113</f>
        <v>46112</v>
      </c>
      <c r="M155" s="149">
        <f>+'MTX PRECIOS'!B114</f>
        <v>46142</v>
      </c>
      <c r="N155" s="31"/>
      <c r="O155" s="68"/>
    </row>
    <row r="156" spans="1:15" s="17" customFormat="1" x14ac:dyDescent="0.35">
      <c r="A156" s="147" t="s">
        <v>69</v>
      </c>
      <c r="B156" s="166">
        <f>VLOOKUP(B$155,'MTX PRECIOS'!$B$102:$M$115,8,0)</f>
        <v>7.5465348136034338E-2</v>
      </c>
      <c r="C156" s="166">
        <f>VLOOKUP(C$155,'MTX PRECIOS'!$B$102:$M$115,8,0)</f>
        <v>4.443119457683764E-2</v>
      </c>
      <c r="D156" s="166">
        <f>VLOOKUP(D$155,'MTX PRECIOS'!$B$102:$M$115,8,0)</f>
        <v>3.4161847525075117E-2</v>
      </c>
      <c r="E156" s="166">
        <f>VLOOKUP(E$155,'MTX PRECIOS'!$B$102:$M$115,8,0)</f>
        <v>-2.3627911032486626E-4</v>
      </c>
      <c r="F156" s="166">
        <f>VLOOKUP(F$155,'MTX PRECIOS'!$B$102:$M$115,8,0)</f>
        <v>3.7913471865941961E-2</v>
      </c>
      <c r="G156" s="166">
        <f>VLOOKUP(G$155,'MTX PRECIOS'!$B$102:$M$115,8,0)</f>
        <v>6.3197464375821966E-2</v>
      </c>
      <c r="H156" s="166">
        <f>VLOOKUP(H$155,'MTX PRECIOS'!$B$102:$M$115,8,0)</f>
        <v>-4.7220671210069898E-2</v>
      </c>
      <c r="I156" s="166">
        <f>VLOOKUP(I$155,'MTX PRECIOS'!$B$102:$M$115,8,0)</f>
        <v>-1.9300434510648667E-2</v>
      </c>
      <c r="J156" s="166">
        <f>VLOOKUP(J$155,'MTX PRECIOS'!$B$102:$M$115,8,0)</f>
        <v>-2.8607680422392479E-2</v>
      </c>
      <c r="K156" s="166">
        <f>VLOOKUP(K$155,'MTX PRECIOS'!$B$102:$M$115,8,0)</f>
        <v>-3.6708618972779439E-2</v>
      </c>
      <c r="L156" s="166">
        <f>VLOOKUP(L$155,'MTX PRECIOS'!$B$102:$M$115,8,0)</f>
        <v>-4.8100020047751046E-3</v>
      </c>
      <c r="M156" s="166">
        <f>VLOOKUP(M$155,'MTX PRECIOS'!$B$102:$M$115,8,0)</f>
        <v>0.12650398094829285</v>
      </c>
      <c r="N156" s="167"/>
      <c r="O156" s="70"/>
    </row>
    <row r="157" spans="1:15" s="147" customFormat="1" x14ac:dyDescent="0.35">
      <c r="A157" s="147" t="s">
        <v>65</v>
      </c>
      <c r="B157" s="166">
        <f>VLOOKUP(B$155,'MTX PRECIOS'!$B$102:$M$115,12,0)</f>
        <v>7.5465348136034338E-2</v>
      </c>
      <c r="C157" s="166">
        <f>VLOOKUP(C$155,'MTX PRECIOS'!$B$102:$M$115,12,0)</f>
        <v>0.12324955827971285</v>
      </c>
      <c r="D157" s="166">
        <f>VLOOKUP(D$155,'MTX PRECIOS'!$B$102:$M$115,12,0)</f>
        <v>0.16162183842227229</v>
      </c>
      <c r="E157" s="166">
        <f>VLOOKUP(E$155,'MTX PRECIOS'!$B$102:$M$115,12,0)</f>
        <v>0.16134737144775602</v>
      </c>
      <c r="F157" s="166">
        <f>VLOOKUP(F$155,'MTX PRECIOS'!$B$102:$M$115,12,0)</f>
        <v>0.20537808234172616</v>
      </c>
      <c r="G157" s="166">
        <f>VLOOKUP(G$155,'MTX PRECIOS'!$B$102:$M$115,12,0)</f>
        <v>0.28155492075991395</v>
      </c>
      <c r="H157" s="166">
        <f>VLOOKUP(H$155,'MTX PRECIOS'!$B$102:$M$115,12,0)</f>
        <v>0.22103903720906293</v>
      </c>
      <c r="I157" s="166">
        <f>VLOOKUP(I$155,'MTX PRECIOS'!$B$102:$M$115,12,0)</f>
        <v>0.19747245323646379</v>
      </c>
      <c r="J157" s="166">
        <f>VLOOKUP(J$155,'MTX PRECIOS'!$B$102:$M$115,12,0)</f>
        <v>0.16321554397965676</v>
      </c>
      <c r="K157" s="166">
        <f>VLOOKUP(K$155,'MTX PRECIOS'!$B$102:$M$115,12,0)</f>
        <v>0.12051550779249331</v>
      </c>
      <c r="L157" s="166">
        <f>VLOOKUP(L$155,'MTX PRECIOS'!$B$102:$M$115,12,0)</f>
        <v>0.11512582595362963</v>
      </c>
      <c r="M157" s="166">
        <f>VLOOKUP(M$155,'MTX PRECIOS'!$B$102:$M$115,12,0)</f>
        <v>0.25619368219501704</v>
      </c>
      <c r="N157" s="168"/>
    </row>
    <row r="158" spans="1:15" s="147" customFormat="1" x14ac:dyDescent="0.35">
      <c r="A158" s="147" t="s">
        <v>35</v>
      </c>
      <c r="B158" s="147">
        <v>2023</v>
      </c>
      <c r="C158" s="147">
        <v>2024</v>
      </c>
      <c r="D158" s="147">
        <v>2025</v>
      </c>
      <c r="E158" s="147">
        <v>2026</v>
      </c>
    </row>
    <row r="159" spans="1:15" s="147" customFormat="1" x14ac:dyDescent="0.35">
      <c r="A159" s="147" t="str">
        <f>+A168</f>
        <v>MVFANG+ BF-1 Efectivo</v>
      </c>
      <c r="B159" s="166">
        <f>VLOOKUP(B158,'MTX PRECIOS'!$A$122:$J$125,10,0)</f>
        <v>0.32867227325875081</v>
      </c>
      <c r="C159" s="166">
        <f>VLOOKUP(C158,'MTX PRECIOS'!$A$122:$J$125,10,0)</f>
        <v>0.51421579113461591</v>
      </c>
      <c r="D159" s="166">
        <f>VLOOKUP(D158,'MTX PRECIOS'!$A$122:$J$125,10,0)</f>
        <v>2.521755367769396E-2</v>
      </c>
      <c r="E159" s="166">
        <f>VLOOKUP(E158,'MTX PRECIOS'!$A$122:$J$125,10,0)</f>
        <v>4.9037644916043455E-2</v>
      </c>
    </row>
    <row r="160" spans="1:15" s="17" customFormat="1" x14ac:dyDescent="0.35"/>
    <row r="161" spans="1:15" s="17" customFormat="1" x14ac:dyDescent="0.35">
      <c r="A161" s="147"/>
      <c r="B161" s="147"/>
      <c r="C161" s="147"/>
      <c r="D161" s="147"/>
      <c r="E161" s="147"/>
      <c r="F161" s="147"/>
      <c r="G161" s="147"/>
      <c r="H161" s="147"/>
      <c r="I161" s="147"/>
      <c r="J161" s="147"/>
      <c r="K161" s="147"/>
      <c r="L161" s="147"/>
      <c r="M161" s="147"/>
      <c r="N161" s="147"/>
      <c r="O161" s="68"/>
    </row>
    <row r="162" spans="1:15" s="17" customFormat="1" x14ac:dyDescent="0.35">
      <c r="A162" s="147"/>
      <c r="B162" s="147"/>
      <c r="C162" s="147"/>
      <c r="D162" s="147"/>
      <c r="E162" s="147"/>
      <c r="F162" s="147"/>
      <c r="G162" s="147"/>
      <c r="H162" s="147"/>
      <c r="I162" s="147"/>
      <c r="J162" s="147"/>
      <c r="K162" s="147"/>
      <c r="L162" s="147"/>
      <c r="M162" s="147"/>
      <c r="N162" s="147"/>
      <c r="O162" s="68"/>
    </row>
    <row r="163" spans="1:15" s="17" customFormat="1" x14ac:dyDescent="0.35">
      <c r="A163" s="147"/>
      <c r="B163" s="147"/>
      <c r="C163" s="147"/>
      <c r="D163" s="147"/>
      <c r="E163" s="147"/>
      <c r="F163" s="147"/>
      <c r="G163" s="147"/>
      <c r="H163" s="147"/>
      <c r="I163" s="147"/>
      <c r="J163" s="147"/>
      <c r="K163" s="147"/>
      <c r="L163" s="147"/>
      <c r="M163" s="147"/>
      <c r="N163" s="147"/>
      <c r="O163" s="68"/>
    </row>
    <row r="164" spans="1:15" s="17" customFormat="1" x14ac:dyDescent="0.35">
      <c r="A164" s="147"/>
      <c r="B164" s="147"/>
      <c r="C164" s="147"/>
      <c r="D164" s="147"/>
      <c r="E164" s="147"/>
      <c r="F164" s="147"/>
      <c r="G164" s="147"/>
      <c r="H164" s="147"/>
      <c r="I164" s="147"/>
      <c r="J164" s="147"/>
      <c r="K164" s="147"/>
      <c r="L164" s="147"/>
      <c r="M164" s="147"/>
      <c r="N164" s="147"/>
      <c r="O164" s="68"/>
    </row>
    <row r="165" spans="1:15" s="17" customFormat="1" x14ac:dyDescent="0.35">
      <c r="A165" s="147"/>
      <c r="B165" s="147"/>
      <c r="C165" s="147"/>
      <c r="D165" s="147"/>
      <c r="E165" s="147"/>
      <c r="F165" s="147"/>
      <c r="G165" s="147"/>
      <c r="H165" s="147"/>
      <c r="I165" s="147"/>
      <c r="J165" s="147"/>
      <c r="K165" s="147"/>
      <c r="L165" s="147"/>
      <c r="M165" s="147"/>
      <c r="N165" s="147"/>
      <c r="O165" s="68"/>
    </row>
    <row r="166" spans="1:15" s="17" customFormat="1" x14ac:dyDescent="0.35">
      <c r="A166" s="147"/>
      <c r="B166" s="147"/>
      <c r="C166" s="147"/>
      <c r="D166" s="147"/>
      <c r="E166" s="147"/>
      <c r="F166" s="147"/>
      <c r="G166" s="147"/>
      <c r="H166" s="147"/>
      <c r="I166" s="147"/>
      <c r="J166" s="147"/>
      <c r="K166" s="147"/>
      <c r="L166" s="147"/>
      <c r="M166" s="147"/>
      <c r="N166" s="147"/>
      <c r="O166" s="68"/>
    </row>
    <row r="167" spans="1:15" s="17" customFormat="1" x14ac:dyDescent="0.35">
      <c r="A167" s="147"/>
      <c r="B167" s="147"/>
      <c r="C167" s="147"/>
      <c r="D167" s="147"/>
      <c r="E167" s="147"/>
      <c r="F167" s="147"/>
      <c r="G167" s="147"/>
      <c r="H167" s="147"/>
      <c r="I167" s="147"/>
      <c r="J167" s="147"/>
      <c r="K167" s="147"/>
      <c r="L167" s="147"/>
      <c r="M167" s="147"/>
      <c r="N167" s="147"/>
      <c r="O167" s="68"/>
    </row>
    <row r="168" spans="1:15" s="17" customFormat="1" x14ac:dyDescent="0.35">
      <c r="A168" s="147" t="str">
        <f>+A7&amp;" "&amp;E7</f>
        <v>MVFANG+ BF-1 Efectivo</v>
      </c>
      <c r="B168" s="147"/>
      <c r="C168" s="147"/>
      <c r="D168" s="147"/>
      <c r="E168" s="147"/>
      <c r="F168" s="147"/>
      <c r="G168" s="147"/>
      <c r="H168" s="147"/>
      <c r="I168" s="147"/>
      <c r="J168" s="147"/>
      <c r="K168" s="147"/>
      <c r="L168" s="147"/>
      <c r="M168" s="147"/>
      <c r="N168" s="147"/>
      <c r="O168" s="68"/>
    </row>
    <row r="169" spans="1:15" s="17" customFormat="1" x14ac:dyDescent="0.35">
      <c r="A169" s="147"/>
      <c r="B169" s="147"/>
      <c r="C169" s="147"/>
      <c r="D169" s="147"/>
      <c r="E169" s="147"/>
      <c r="F169" s="147"/>
      <c r="G169" s="147"/>
      <c r="H169" s="147"/>
      <c r="I169" s="147"/>
      <c r="J169" s="147"/>
      <c r="K169" s="147"/>
      <c r="L169" s="147"/>
      <c r="M169" s="147"/>
      <c r="N169" s="147"/>
      <c r="O169" s="68"/>
    </row>
    <row r="170" spans="1:15" s="17" customFormat="1" x14ac:dyDescent="0.35">
      <c r="A170" s="147" t="s">
        <v>25</v>
      </c>
      <c r="B170" s="147" t="s">
        <v>262</v>
      </c>
      <c r="C170" s="147" t="s">
        <v>204</v>
      </c>
      <c r="D170" s="147" t="s">
        <v>205</v>
      </c>
      <c r="E170" s="147" t="s">
        <v>239</v>
      </c>
      <c r="F170" s="147"/>
      <c r="G170" s="147"/>
      <c r="H170" s="147"/>
      <c r="I170" s="147"/>
      <c r="J170" s="147"/>
      <c r="K170" s="147"/>
      <c r="L170" s="147"/>
      <c r="M170" s="147"/>
      <c r="N170" s="147"/>
      <c r="O170" s="68"/>
    </row>
    <row r="171" spans="1:15" s="1" customFormat="1" hidden="1" x14ac:dyDescent="0.35">
      <c r="A171" s="203" t="s">
        <v>0</v>
      </c>
      <c r="B171" s="1" t="s">
        <v>239</v>
      </c>
    </row>
    <row r="172" spans="1:15" s="1" customFormat="1" hidden="1" x14ac:dyDescent="0.35">
      <c r="A172" s="203" t="s">
        <v>1</v>
      </c>
      <c r="B172" s="1" t="s">
        <v>239</v>
      </c>
    </row>
    <row r="173" spans="1:15" s="1" customFormat="1" hidden="1" x14ac:dyDescent="0.35">
      <c r="A173" s="203" t="s">
        <v>151</v>
      </c>
      <c r="B173" s="1" t="s">
        <v>239</v>
      </c>
    </row>
    <row r="174" spans="1:15" s="1" customFormat="1" hidden="1" x14ac:dyDescent="0.35">
      <c r="A174" s="203" t="s">
        <v>152</v>
      </c>
      <c r="B174" s="1" t="s">
        <v>239</v>
      </c>
    </row>
    <row r="175" spans="1:15" s="1" customFormat="1" hidden="1" x14ac:dyDescent="0.35">
      <c r="A175" s="203" t="s">
        <v>2</v>
      </c>
      <c r="B175" s="1" t="s">
        <v>239</v>
      </c>
    </row>
    <row r="176" spans="1:15" s="1" customFormat="1" hidden="1" x14ac:dyDescent="0.35">
      <c r="A176" s="203" t="s">
        <v>150</v>
      </c>
      <c r="B176" s="1" t="s">
        <v>239</v>
      </c>
    </row>
    <row r="177" spans="1:2" s="1" customFormat="1" hidden="1" x14ac:dyDescent="0.35">
      <c r="A177" s="203" t="s">
        <v>84</v>
      </c>
      <c r="B177" s="1" t="s">
        <v>204</v>
      </c>
    </row>
    <row r="178" spans="1:2" s="1" customFormat="1" hidden="1" x14ac:dyDescent="0.35">
      <c r="A178" s="203" t="s">
        <v>85</v>
      </c>
      <c r="B178" s="1" t="s">
        <v>204</v>
      </c>
    </row>
    <row r="179" spans="1:2" s="1" customFormat="1" hidden="1" x14ac:dyDescent="0.35">
      <c r="A179" s="203" t="s">
        <v>88</v>
      </c>
      <c r="B179" s="1" t="s">
        <v>204</v>
      </c>
    </row>
    <row r="180" spans="1:2" s="1" customFormat="1" hidden="1" x14ac:dyDescent="0.35">
      <c r="A180" s="203" t="s">
        <v>89</v>
      </c>
      <c r="B180" s="1" t="s">
        <v>204</v>
      </c>
    </row>
    <row r="181" spans="1:2" s="1" customFormat="1" hidden="1" x14ac:dyDescent="0.35">
      <c r="A181" s="203" t="s">
        <v>90</v>
      </c>
      <c r="B181" s="1" t="s">
        <v>204</v>
      </c>
    </row>
    <row r="182" spans="1:2" s="1" customFormat="1" hidden="1" x14ac:dyDescent="0.35">
      <c r="A182" s="203" t="s">
        <v>86</v>
      </c>
      <c r="B182" s="1" t="s">
        <v>204</v>
      </c>
    </row>
    <row r="183" spans="1:2" s="1" customFormat="1" hidden="1" x14ac:dyDescent="0.35">
      <c r="A183" s="203" t="s">
        <v>87</v>
      </c>
      <c r="B183" s="1" t="s">
        <v>204</v>
      </c>
    </row>
    <row r="184" spans="1:2" s="1" customFormat="1" hidden="1" x14ac:dyDescent="0.35">
      <c r="A184" s="203" t="s">
        <v>92</v>
      </c>
      <c r="B184" s="1" t="s">
        <v>204</v>
      </c>
    </row>
    <row r="185" spans="1:2" s="1" customFormat="1" hidden="1" x14ac:dyDescent="0.35">
      <c r="A185" s="203" t="s">
        <v>93</v>
      </c>
      <c r="B185" s="1" t="s">
        <v>204</v>
      </c>
    </row>
    <row r="186" spans="1:2" s="1" customFormat="1" hidden="1" x14ac:dyDescent="0.35">
      <c r="A186" s="203" t="s">
        <v>94</v>
      </c>
      <c r="B186" s="1" t="s">
        <v>204</v>
      </c>
    </row>
    <row r="187" spans="1:2" s="1" customFormat="1" hidden="1" x14ac:dyDescent="0.35">
      <c r="A187" s="203" t="s">
        <v>91</v>
      </c>
      <c r="B187" s="1" t="s">
        <v>204</v>
      </c>
    </row>
    <row r="188" spans="1:2" s="1" customFormat="1" hidden="1" x14ac:dyDescent="0.35">
      <c r="A188" s="203" t="s">
        <v>114</v>
      </c>
      <c r="B188" s="1" t="s">
        <v>204</v>
      </c>
    </row>
    <row r="189" spans="1:2" s="1" customFormat="1" hidden="1" x14ac:dyDescent="0.35">
      <c r="A189" s="203" t="s">
        <v>115</v>
      </c>
      <c r="B189" s="1" t="s">
        <v>204</v>
      </c>
    </row>
    <row r="190" spans="1:2" s="1" customFormat="1" hidden="1" x14ac:dyDescent="0.35">
      <c r="A190" s="203" t="s">
        <v>118</v>
      </c>
      <c r="B190" s="1" t="s">
        <v>204</v>
      </c>
    </row>
    <row r="191" spans="1:2" s="1" customFormat="1" hidden="1" x14ac:dyDescent="0.35">
      <c r="A191" s="203" t="s">
        <v>119</v>
      </c>
      <c r="B191" s="1" t="s">
        <v>204</v>
      </c>
    </row>
    <row r="192" spans="1:2" s="1" customFormat="1" hidden="1" x14ac:dyDescent="0.35">
      <c r="A192" s="203" t="s">
        <v>120</v>
      </c>
      <c r="B192" s="1" t="s">
        <v>204</v>
      </c>
    </row>
    <row r="193" spans="1:2" s="1" customFormat="1" hidden="1" x14ac:dyDescent="0.35">
      <c r="A193" s="203" t="s">
        <v>116</v>
      </c>
      <c r="B193" s="1" t="s">
        <v>204</v>
      </c>
    </row>
    <row r="194" spans="1:2" s="1" customFormat="1" hidden="1" x14ac:dyDescent="0.35">
      <c r="A194" s="203" t="s">
        <v>117</v>
      </c>
      <c r="B194" s="1" t="s">
        <v>204</v>
      </c>
    </row>
    <row r="195" spans="1:2" s="1" customFormat="1" hidden="1" x14ac:dyDescent="0.35">
      <c r="A195" s="203" t="s">
        <v>122</v>
      </c>
      <c r="B195" s="1" t="s">
        <v>204</v>
      </c>
    </row>
    <row r="196" spans="1:2" s="1" customFormat="1" hidden="1" x14ac:dyDescent="0.35">
      <c r="A196" s="203" t="s">
        <v>123</v>
      </c>
      <c r="B196" s="1" t="s">
        <v>204</v>
      </c>
    </row>
    <row r="197" spans="1:2" s="1" customFormat="1" hidden="1" x14ac:dyDescent="0.35">
      <c r="A197" s="203" t="s">
        <v>124</v>
      </c>
      <c r="B197" s="1" t="s">
        <v>204</v>
      </c>
    </row>
    <row r="198" spans="1:2" s="1" customFormat="1" hidden="1" x14ac:dyDescent="0.35">
      <c r="A198" s="203" t="s">
        <v>121</v>
      </c>
      <c r="B198" s="1" t="s">
        <v>204</v>
      </c>
    </row>
    <row r="199" spans="1:2" s="1" customFormat="1" hidden="1" x14ac:dyDescent="0.35">
      <c r="A199" s="204" t="s">
        <v>140</v>
      </c>
      <c r="B199" s="1" t="s">
        <v>204</v>
      </c>
    </row>
    <row r="200" spans="1:2" s="1" customFormat="1" hidden="1" x14ac:dyDescent="0.35">
      <c r="A200" s="1" t="s">
        <v>134</v>
      </c>
      <c r="B200" s="1" t="s">
        <v>204</v>
      </c>
    </row>
    <row r="201" spans="1:2" s="1" customFormat="1" hidden="1" x14ac:dyDescent="0.35">
      <c r="A201" s="204" t="s">
        <v>135</v>
      </c>
      <c r="B201" s="1" t="s">
        <v>204</v>
      </c>
    </row>
    <row r="202" spans="1:2" s="1" customFormat="1" hidden="1" x14ac:dyDescent="0.35">
      <c r="A202" s="204" t="s">
        <v>136</v>
      </c>
      <c r="B202" s="1" t="s">
        <v>204</v>
      </c>
    </row>
    <row r="203" spans="1:2" s="1" customFormat="1" hidden="1" x14ac:dyDescent="0.35">
      <c r="A203" s="204" t="s">
        <v>137</v>
      </c>
      <c r="B203" s="1" t="s">
        <v>204</v>
      </c>
    </row>
    <row r="204" spans="1:2" s="1" customFormat="1" hidden="1" x14ac:dyDescent="0.35">
      <c r="A204" s="204" t="s">
        <v>138</v>
      </c>
      <c r="B204" s="1" t="s">
        <v>204</v>
      </c>
    </row>
    <row r="205" spans="1:2" s="1" customFormat="1" hidden="1" x14ac:dyDescent="0.35">
      <c r="A205" s="203" t="s">
        <v>95</v>
      </c>
      <c r="B205" s="1" t="s">
        <v>204</v>
      </c>
    </row>
    <row r="206" spans="1:2" s="1" customFormat="1" hidden="1" x14ac:dyDescent="0.35">
      <c r="A206" s="203" t="s">
        <v>96</v>
      </c>
      <c r="B206" s="1" t="s">
        <v>204</v>
      </c>
    </row>
    <row r="207" spans="1:2" s="1" customFormat="1" hidden="1" x14ac:dyDescent="0.35">
      <c r="A207" s="203" t="s">
        <v>99</v>
      </c>
      <c r="B207" s="1" t="s">
        <v>204</v>
      </c>
    </row>
    <row r="208" spans="1:2" s="1" customFormat="1" hidden="1" x14ac:dyDescent="0.35">
      <c r="A208" s="203" t="s">
        <v>100</v>
      </c>
      <c r="B208" s="1" t="s">
        <v>204</v>
      </c>
    </row>
    <row r="209" spans="1:2" s="1" customFormat="1" hidden="1" x14ac:dyDescent="0.35">
      <c r="A209" s="203" t="s">
        <v>101</v>
      </c>
      <c r="B209" s="1" t="s">
        <v>204</v>
      </c>
    </row>
    <row r="210" spans="1:2" s="1" customFormat="1" hidden="1" x14ac:dyDescent="0.35">
      <c r="A210" s="203" t="s">
        <v>97</v>
      </c>
      <c r="B210" s="1" t="s">
        <v>204</v>
      </c>
    </row>
    <row r="211" spans="1:2" s="1" customFormat="1" hidden="1" x14ac:dyDescent="0.35">
      <c r="A211" s="203" t="s">
        <v>98</v>
      </c>
      <c r="B211" s="1" t="s">
        <v>204</v>
      </c>
    </row>
    <row r="212" spans="1:2" s="1" customFormat="1" hidden="1" x14ac:dyDescent="0.35">
      <c r="A212" s="203" t="s">
        <v>103</v>
      </c>
      <c r="B212" s="1" t="s">
        <v>204</v>
      </c>
    </row>
    <row r="213" spans="1:2" s="1" customFormat="1" hidden="1" x14ac:dyDescent="0.35">
      <c r="A213" s="203" t="s">
        <v>104</v>
      </c>
      <c r="B213" s="1" t="s">
        <v>204</v>
      </c>
    </row>
    <row r="214" spans="1:2" s="1" customFormat="1" hidden="1" x14ac:dyDescent="0.35">
      <c r="A214" s="203" t="s">
        <v>105</v>
      </c>
      <c r="B214" s="1" t="s">
        <v>204</v>
      </c>
    </row>
    <row r="215" spans="1:2" s="1" customFormat="1" hidden="1" x14ac:dyDescent="0.35">
      <c r="A215" s="203" t="s">
        <v>102</v>
      </c>
      <c r="B215" s="1" t="s">
        <v>204</v>
      </c>
    </row>
    <row r="216" spans="1:2" s="1" customFormat="1" hidden="1" x14ac:dyDescent="0.35">
      <c r="A216" s="203" t="s">
        <v>15</v>
      </c>
      <c r="B216" s="1" t="s">
        <v>239</v>
      </c>
    </row>
    <row r="217" spans="1:2" s="1" customFormat="1" hidden="1" x14ac:dyDescent="0.35">
      <c r="A217" s="203" t="s">
        <v>141</v>
      </c>
      <c r="B217" s="1" t="s">
        <v>204</v>
      </c>
    </row>
    <row r="218" spans="1:2" s="1" customFormat="1" hidden="1" x14ac:dyDescent="0.35">
      <c r="A218" s="203" t="s">
        <v>132</v>
      </c>
      <c r="B218" s="1" t="s">
        <v>204</v>
      </c>
    </row>
    <row r="219" spans="1:2" s="1" customFormat="1" hidden="1" x14ac:dyDescent="0.35">
      <c r="A219" s="203" t="s">
        <v>143</v>
      </c>
      <c r="B219" s="1" t="s">
        <v>204</v>
      </c>
    </row>
    <row r="220" spans="1:2" s="1" customFormat="1" hidden="1" x14ac:dyDescent="0.35">
      <c r="A220" s="203" t="s">
        <v>144</v>
      </c>
      <c r="B220" s="1" t="s">
        <v>204</v>
      </c>
    </row>
    <row r="221" spans="1:2" s="1" customFormat="1" hidden="1" x14ac:dyDescent="0.35">
      <c r="A221" s="203" t="s">
        <v>142</v>
      </c>
      <c r="B221" s="1" t="s">
        <v>204</v>
      </c>
    </row>
    <row r="222" spans="1:2" s="1" customFormat="1" hidden="1" x14ac:dyDescent="0.35">
      <c r="A222" s="203" t="s">
        <v>145</v>
      </c>
      <c r="B222" s="1" t="s">
        <v>204</v>
      </c>
    </row>
    <row r="223" spans="1:2" s="1" customFormat="1" hidden="1" x14ac:dyDescent="0.35">
      <c r="A223" s="203" t="s">
        <v>298</v>
      </c>
      <c r="B223" s="1" t="s">
        <v>239</v>
      </c>
    </row>
    <row r="224" spans="1:2" s="1" customFormat="1" hidden="1" x14ac:dyDescent="0.35">
      <c r="A224" s="203" t="s">
        <v>3</v>
      </c>
      <c r="B224" s="1" t="s">
        <v>239</v>
      </c>
    </row>
    <row r="225" spans="1:2" s="1" customFormat="1" hidden="1" x14ac:dyDescent="0.35">
      <c r="A225" s="203" t="s">
        <v>194</v>
      </c>
      <c r="B225" s="1" t="s">
        <v>239</v>
      </c>
    </row>
    <row r="226" spans="1:2" s="1" customFormat="1" hidden="1" x14ac:dyDescent="0.35">
      <c r="A226" s="203" t="s">
        <v>4</v>
      </c>
      <c r="B226" s="1" t="s">
        <v>239</v>
      </c>
    </row>
    <row r="227" spans="1:2" s="1" customFormat="1" hidden="1" x14ac:dyDescent="0.35">
      <c r="A227" s="203" t="s">
        <v>153</v>
      </c>
      <c r="B227" s="1" t="s">
        <v>239</v>
      </c>
    </row>
    <row r="228" spans="1:2" s="1" customFormat="1" hidden="1" x14ac:dyDescent="0.35">
      <c r="A228" s="203" t="s">
        <v>154</v>
      </c>
      <c r="B228" s="1" t="s">
        <v>239</v>
      </c>
    </row>
    <row r="229" spans="1:2" s="1" customFormat="1" hidden="1" x14ac:dyDescent="0.35">
      <c r="A229" s="203" t="s">
        <v>5</v>
      </c>
      <c r="B229" s="1" t="s">
        <v>239</v>
      </c>
    </row>
    <row r="230" spans="1:2" s="1" customFormat="1" hidden="1" x14ac:dyDescent="0.35">
      <c r="A230" s="203" t="s">
        <v>195</v>
      </c>
      <c r="B230" s="1" t="s">
        <v>239</v>
      </c>
    </row>
    <row r="231" spans="1:2" s="1" customFormat="1" hidden="1" x14ac:dyDescent="0.35">
      <c r="A231" s="203" t="s">
        <v>155</v>
      </c>
      <c r="B231" s="1" t="s">
        <v>239</v>
      </c>
    </row>
    <row r="232" spans="1:2" s="1" customFormat="1" hidden="1" x14ac:dyDescent="0.35">
      <c r="A232" s="203" t="s">
        <v>6</v>
      </c>
      <c r="B232" s="1" t="s">
        <v>239</v>
      </c>
    </row>
    <row r="233" spans="1:2" s="1" customFormat="1" hidden="1" x14ac:dyDescent="0.35">
      <c r="A233" s="203" t="s">
        <v>7</v>
      </c>
      <c r="B233" s="1" t="s">
        <v>239</v>
      </c>
    </row>
    <row r="234" spans="1:2" s="1" customFormat="1" hidden="1" x14ac:dyDescent="0.35">
      <c r="A234" s="203" t="s">
        <v>8</v>
      </c>
      <c r="B234" s="1" t="s">
        <v>239</v>
      </c>
    </row>
    <row r="235" spans="1:2" s="1" customFormat="1" hidden="1" x14ac:dyDescent="0.35">
      <c r="A235" s="203" t="s">
        <v>9</v>
      </c>
      <c r="B235" s="1" t="s">
        <v>239</v>
      </c>
    </row>
    <row r="236" spans="1:2" s="1" customFormat="1" hidden="1" x14ac:dyDescent="0.35">
      <c r="A236" s="203" t="s">
        <v>156</v>
      </c>
      <c r="B236" s="1" t="s">
        <v>239</v>
      </c>
    </row>
    <row r="237" spans="1:2" s="1" customFormat="1" hidden="1" x14ac:dyDescent="0.35">
      <c r="A237" s="203" t="s">
        <v>157</v>
      </c>
      <c r="B237" s="1" t="s">
        <v>239</v>
      </c>
    </row>
    <row r="238" spans="1:2" s="1" customFormat="1" hidden="1" x14ac:dyDescent="0.35">
      <c r="A238" s="203" t="s">
        <v>10</v>
      </c>
      <c r="B238" s="1" t="s">
        <v>239</v>
      </c>
    </row>
    <row r="239" spans="1:2" s="1" customFormat="1" hidden="1" x14ac:dyDescent="0.35">
      <c r="A239" s="203" t="s">
        <v>11</v>
      </c>
      <c r="B239" s="1" t="s">
        <v>239</v>
      </c>
    </row>
    <row r="240" spans="1:2" s="1" customFormat="1" hidden="1" x14ac:dyDescent="0.35">
      <c r="A240" s="203" t="s">
        <v>158</v>
      </c>
      <c r="B240" s="1" t="s">
        <v>239</v>
      </c>
    </row>
    <row r="241" spans="1:11" s="1" customFormat="1" hidden="1" x14ac:dyDescent="0.35">
      <c r="A241" s="203" t="s">
        <v>12</v>
      </c>
      <c r="B241" s="1" t="s">
        <v>239</v>
      </c>
    </row>
    <row r="242" spans="1:11" s="1" customFormat="1" hidden="1" x14ac:dyDescent="0.35">
      <c r="A242" s="203" t="s">
        <v>13</v>
      </c>
      <c r="B242" s="1" t="s">
        <v>239</v>
      </c>
    </row>
    <row r="243" spans="1:11" s="1" customFormat="1" hidden="1" x14ac:dyDescent="0.35">
      <c r="A243" s="203" t="s">
        <v>161</v>
      </c>
      <c r="B243" s="1" t="s">
        <v>239</v>
      </c>
    </row>
    <row r="244" spans="1:11" s="1" customFormat="1" hidden="1" x14ac:dyDescent="0.35">
      <c r="A244" s="203" t="s">
        <v>160</v>
      </c>
      <c r="B244" s="1" t="s">
        <v>239</v>
      </c>
    </row>
    <row r="245" spans="1:11" s="1" customFormat="1" hidden="1" x14ac:dyDescent="0.35">
      <c r="A245" s="203" t="s">
        <v>14</v>
      </c>
      <c r="B245" s="1" t="s">
        <v>239</v>
      </c>
    </row>
    <row r="246" spans="1:11" s="1" customFormat="1" hidden="1" x14ac:dyDescent="0.35">
      <c r="A246" s="203" t="s">
        <v>159</v>
      </c>
      <c r="B246" s="1" t="s">
        <v>239</v>
      </c>
    </row>
    <row r="247" spans="1:11" s="1" customFormat="1" hidden="1" x14ac:dyDescent="0.35">
      <c r="A247" s="204" t="s">
        <v>214</v>
      </c>
      <c r="B247" s="1" t="s">
        <v>204</v>
      </c>
      <c r="C247" s="62"/>
      <c r="D247" s="62"/>
      <c r="E247" s="62"/>
      <c r="F247" s="62"/>
      <c r="G247" s="62"/>
      <c r="H247" s="62"/>
      <c r="I247" s="62"/>
      <c r="J247" s="62"/>
      <c r="K247" s="62"/>
    </row>
    <row r="248" spans="1:11" s="1" customFormat="1" hidden="1" x14ac:dyDescent="0.35">
      <c r="A248" s="204" t="s">
        <v>215</v>
      </c>
      <c r="B248" s="1" t="s">
        <v>204</v>
      </c>
      <c r="C248" s="205"/>
      <c r="G248" s="205"/>
    </row>
    <row r="249" spans="1:11" s="1" customFormat="1" hidden="1" x14ac:dyDescent="0.35">
      <c r="A249" s="204" t="s">
        <v>216</v>
      </c>
      <c r="B249" s="1" t="s">
        <v>204</v>
      </c>
    </row>
    <row r="250" spans="1:11" s="1" customFormat="1" hidden="1" x14ac:dyDescent="0.35">
      <c r="A250" s="204" t="s">
        <v>217</v>
      </c>
      <c r="B250" s="1" t="s">
        <v>204</v>
      </c>
      <c r="C250" s="141"/>
      <c r="G250" s="141"/>
    </row>
    <row r="251" spans="1:11" s="1" customFormat="1" hidden="1" x14ac:dyDescent="0.35">
      <c r="A251" s="204" t="s">
        <v>218</v>
      </c>
      <c r="B251" s="1" t="s">
        <v>204</v>
      </c>
      <c r="C251" s="141"/>
      <c r="D251" s="206"/>
      <c r="E251" s="207"/>
      <c r="F251" s="206"/>
      <c r="G251" s="141"/>
      <c r="H251" s="206"/>
      <c r="I251" s="208"/>
      <c r="J251" s="208"/>
      <c r="K251" s="206"/>
    </row>
    <row r="252" spans="1:11" s="1" customFormat="1" hidden="1" x14ac:dyDescent="0.35">
      <c r="A252" s="204" t="s">
        <v>219</v>
      </c>
      <c r="B252" s="1" t="s">
        <v>204</v>
      </c>
      <c r="C252" s="141"/>
      <c r="D252" s="206"/>
      <c r="E252" s="207"/>
      <c r="F252" s="206"/>
      <c r="G252" s="141"/>
      <c r="H252" s="206"/>
      <c r="I252" s="208"/>
      <c r="J252" s="208"/>
      <c r="K252" s="206"/>
    </row>
    <row r="253" spans="1:11" s="1" customFormat="1" hidden="1" x14ac:dyDescent="0.35">
      <c r="A253" s="204" t="s">
        <v>220</v>
      </c>
      <c r="B253" s="1" t="s">
        <v>204</v>
      </c>
      <c r="C253" s="141"/>
      <c r="D253" s="206"/>
      <c r="E253" s="207"/>
      <c r="F253" s="206"/>
      <c r="G253" s="141"/>
      <c r="H253" s="206"/>
      <c r="I253" s="208"/>
      <c r="J253" s="208"/>
      <c r="K253" s="206"/>
    </row>
    <row r="254" spans="1:11" s="1" customFormat="1" hidden="1" x14ac:dyDescent="0.35">
      <c r="A254" s="203" t="s">
        <v>162</v>
      </c>
      <c r="B254" s="1" t="s">
        <v>239</v>
      </c>
      <c r="C254" s="141"/>
      <c r="D254" s="206"/>
      <c r="E254" s="207"/>
      <c r="F254" s="206"/>
      <c r="G254" s="141"/>
      <c r="H254" s="206"/>
      <c r="I254" s="208"/>
      <c r="J254" s="208"/>
      <c r="K254" s="206"/>
    </row>
    <row r="255" spans="1:11" s="1" customFormat="1" hidden="1" x14ac:dyDescent="0.35">
      <c r="A255" s="203" t="s">
        <v>128</v>
      </c>
      <c r="B255" s="1" t="s">
        <v>239</v>
      </c>
      <c r="C255" s="141"/>
      <c r="D255" s="206"/>
      <c r="E255" s="207"/>
      <c r="F255" s="206"/>
      <c r="G255" s="141"/>
      <c r="I255" s="208"/>
    </row>
    <row r="256" spans="1:11" s="1" customFormat="1" hidden="1" x14ac:dyDescent="0.35">
      <c r="A256" s="203" t="s">
        <v>130</v>
      </c>
      <c r="B256" s="1" t="s">
        <v>239</v>
      </c>
      <c r="C256" s="141"/>
      <c r="D256" s="206"/>
      <c r="E256" s="207"/>
      <c r="F256" s="206"/>
      <c r="G256" s="141"/>
      <c r="H256" s="206"/>
      <c r="I256" s="208"/>
      <c r="J256" s="208"/>
      <c r="K256" s="206"/>
    </row>
    <row r="257" spans="1:11" s="1" customFormat="1" hidden="1" x14ac:dyDescent="0.35">
      <c r="A257" s="203" t="s">
        <v>131</v>
      </c>
      <c r="B257" s="1" t="s">
        <v>239</v>
      </c>
      <c r="C257" s="141"/>
      <c r="D257" s="206"/>
      <c r="E257" s="207"/>
      <c r="F257" s="206"/>
      <c r="G257" s="141"/>
      <c r="H257" s="206"/>
      <c r="I257" s="208"/>
      <c r="J257" s="208"/>
      <c r="K257" s="206"/>
    </row>
    <row r="258" spans="1:11" s="1" customFormat="1" hidden="1" x14ac:dyDescent="0.35">
      <c r="A258" s="203" t="s">
        <v>129</v>
      </c>
      <c r="B258" s="1" t="s">
        <v>239</v>
      </c>
      <c r="C258" s="141"/>
      <c r="D258" s="206"/>
      <c r="E258" s="207"/>
      <c r="F258" s="206"/>
      <c r="G258" s="141"/>
      <c r="H258" s="206"/>
      <c r="I258" s="208"/>
      <c r="J258" s="208"/>
      <c r="K258" s="206"/>
    </row>
    <row r="259" spans="1:11" s="1" customFormat="1" hidden="1" x14ac:dyDescent="0.35">
      <c r="A259" s="203" t="s">
        <v>146</v>
      </c>
      <c r="B259" s="1" t="s">
        <v>239</v>
      </c>
      <c r="C259" s="141"/>
      <c r="D259" s="206"/>
      <c r="E259" s="207"/>
      <c r="F259" s="206"/>
      <c r="G259" s="141"/>
      <c r="H259" s="206"/>
      <c r="I259" s="208"/>
      <c r="J259" s="208"/>
      <c r="K259" s="206"/>
    </row>
    <row r="260" spans="1:11" s="1" customFormat="1" hidden="1" x14ac:dyDescent="0.35">
      <c r="A260" s="203" t="s">
        <v>147</v>
      </c>
      <c r="B260" s="1" t="s">
        <v>239</v>
      </c>
      <c r="C260" s="141"/>
      <c r="D260" s="206"/>
      <c r="E260" s="207"/>
      <c r="F260" s="206"/>
      <c r="G260" s="141"/>
      <c r="H260" s="206"/>
      <c r="I260" s="208"/>
      <c r="J260" s="208"/>
      <c r="K260" s="206"/>
    </row>
    <row r="261" spans="1:11" s="1" customFormat="1" hidden="1" x14ac:dyDescent="0.35">
      <c r="A261" s="203" t="s">
        <v>165</v>
      </c>
      <c r="B261" s="1" t="s">
        <v>239</v>
      </c>
      <c r="C261" s="141"/>
      <c r="D261" s="206"/>
      <c r="E261" s="207"/>
      <c r="F261" s="206"/>
      <c r="G261" s="141"/>
      <c r="H261" s="206"/>
      <c r="I261" s="208"/>
      <c r="J261" s="208"/>
      <c r="K261" s="206"/>
    </row>
    <row r="262" spans="1:11" s="1" customFormat="1" hidden="1" x14ac:dyDescent="0.35">
      <c r="A262" s="203" t="s">
        <v>148</v>
      </c>
      <c r="B262" s="1" t="s">
        <v>239</v>
      </c>
      <c r="C262" s="141"/>
      <c r="D262" s="206"/>
      <c r="E262" s="207"/>
      <c r="F262" s="206"/>
      <c r="G262" s="141"/>
      <c r="H262" s="206"/>
      <c r="I262" s="208"/>
      <c r="J262" s="208"/>
      <c r="K262" s="206"/>
    </row>
    <row r="263" spans="1:11" s="1" customFormat="1" hidden="1" x14ac:dyDescent="0.35">
      <c r="A263" s="203" t="s">
        <v>149</v>
      </c>
      <c r="B263" s="1" t="s">
        <v>239</v>
      </c>
      <c r="C263" s="141"/>
      <c r="D263" s="206"/>
      <c r="E263" s="207"/>
      <c r="F263" s="206"/>
      <c r="G263" s="141"/>
      <c r="H263" s="206"/>
      <c r="I263" s="208"/>
      <c r="J263" s="208"/>
      <c r="K263" s="206"/>
    </row>
    <row r="264" spans="1:11" s="1" customFormat="1" hidden="1" x14ac:dyDescent="0.35">
      <c r="A264" s="204"/>
      <c r="B264" s="25"/>
      <c r="C264" s="141"/>
      <c r="D264" s="206"/>
      <c r="E264" s="207"/>
      <c r="F264" s="206"/>
      <c r="G264" s="141"/>
      <c r="H264" s="206"/>
      <c r="I264" s="208"/>
      <c r="J264" s="208"/>
      <c r="K264" s="206"/>
    </row>
    <row r="265" spans="1:11" s="1" customFormat="1" hidden="1" x14ac:dyDescent="0.35">
      <c r="A265" s="203" t="s">
        <v>77</v>
      </c>
      <c r="B265" s="1" t="s">
        <v>205</v>
      </c>
      <c r="C265" s="141"/>
      <c r="D265" s="206"/>
      <c r="E265" s="207"/>
      <c r="F265" s="206"/>
      <c r="G265" s="141"/>
      <c r="H265" s="206"/>
      <c r="I265" s="208"/>
      <c r="J265" s="208"/>
      <c r="K265" s="206"/>
    </row>
    <row r="266" spans="1:11" s="1" customFormat="1" hidden="1" x14ac:dyDescent="0.35">
      <c r="A266" s="203" t="s">
        <v>76</v>
      </c>
      <c r="B266" s="1" t="s">
        <v>205</v>
      </c>
      <c r="C266" s="141"/>
      <c r="D266" s="206"/>
      <c r="E266" s="207"/>
      <c r="F266" s="206"/>
      <c r="G266" s="141"/>
      <c r="H266" s="206"/>
      <c r="I266" s="208"/>
      <c r="J266" s="208"/>
      <c r="K266" s="206"/>
    </row>
    <row r="267" spans="1:11" s="1" customFormat="1" hidden="1" x14ac:dyDescent="0.35">
      <c r="A267" s="203" t="s">
        <v>175</v>
      </c>
      <c r="B267" s="1" t="s">
        <v>205</v>
      </c>
      <c r="C267" s="141"/>
      <c r="D267" s="206"/>
      <c r="E267" s="207"/>
      <c r="F267" s="206"/>
      <c r="G267" s="141"/>
      <c r="H267" s="206"/>
      <c r="I267" s="208"/>
      <c r="J267" s="208"/>
      <c r="K267" s="206"/>
    </row>
    <row r="268" spans="1:11" s="1" customFormat="1" hidden="1" x14ac:dyDescent="0.35">
      <c r="A268" s="203" t="s">
        <v>174</v>
      </c>
      <c r="B268" s="1" t="s">
        <v>205</v>
      </c>
      <c r="C268" s="141"/>
      <c r="D268" s="206"/>
      <c r="E268" s="207"/>
      <c r="F268" s="206"/>
      <c r="G268" s="141"/>
      <c r="H268" s="206"/>
      <c r="I268" s="208"/>
      <c r="J268" s="208"/>
      <c r="K268" s="206"/>
    </row>
    <row r="269" spans="1:11" s="1" customFormat="1" hidden="1" x14ac:dyDescent="0.35">
      <c r="A269" s="203" t="s">
        <v>176</v>
      </c>
      <c r="B269" s="1" t="s">
        <v>205</v>
      </c>
      <c r="C269" s="141"/>
      <c r="D269" s="206"/>
      <c r="E269" s="207"/>
      <c r="F269" s="206"/>
      <c r="G269" s="141"/>
      <c r="H269" s="206"/>
      <c r="I269" s="208"/>
      <c r="J269" s="208"/>
      <c r="K269" s="206"/>
    </row>
    <row r="270" spans="1:11" s="1" customFormat="1" hidden="1" x14ac:dyDescent="0.35">
      <c r="A270" s="203" t="s">
        <v>16</v>
      </c>
      <c r="B270" s="1" t="s">
        <v>204</v>
      </c>
      <c r="C270" s="141"/>
      <c r="D270" s="206"/>
      <c r="E270" s="207"/>
      <c r="F270" s="206"/>
      <c r="G270" s="141"/>
      <c r="H270" s="206"/>
      <c r="I270" s="208"/>
      <c r="J270" s="208"/>
      <c r="K270" s="206"/>
    </row>
    <row r="271" spans="1:11" s="1" customFormat="1" hidden="1" x14ac:dyDescent="0.35">
      <c r="A271" s="203" t="s">
        <v>272</v>
      </c>
      <c r="B271" s="1" t="s">
        <v>204</v>
      </c>
      <c r="C271" s="141"/>
      <c r="D271" s="206"/>
      <c r="E271" s="207"/>
      <c r="F271" s="206"/>
      <c r="G271" s="141"/>
      <c r="H271" s="206"/>
      <c r="I271" s="208"/>
      <c r="J271" s="208"/>
      <c r="K271" s="206"/>
    </row>
    <row r="272" spans="1:11" s="1" customFormat="1" hidden="1" x14ac:dyDescent="0.35">
      <c r="A272" s="203" t="s">
        <v>210</v>
      </c>
      <c r="B272" s="1" t="s">
        <v>204</v>
      </c>
      <c r="C272" s="141"/>
      <c r="D272" s="206"/>
      <c r="E272" s="207"/>
      <c r="F272" s="206"/>
      <c r="G272" s="141"/>
      <c r="H272" s="206"/>
      <c r="I272" s="208"/>
      <c r="J272" s="208"/>
      <c r="K272" s="206"/>
    </row>
    <row r="273" spans="1:15" s="1" customFormat="1" hidden="1" x14ac:dyDescent="0.35">
      <c r="A273" s="209" t="s">
        <v>271</v>
      </c>
      <c r="B273" s="1" t="s">
        <v>204</v>
      </c>
      <c r="C273" s="210"/>
      <c r="D273" s="206"/>
      <c r="E273" s="207"/>
      <c r="F273" s="206"/>
      <c r="G273" s="141"/>
      <c r="H273" s="206"/>
      <c r="I273" s="208"/>
      <c r="J273" s="208"/>
      <c r="K273" s="206"/>
    </row>
    <row r="274" spans="1:15" s="1" customFormat="1" hidden="1" x14ac:dyDescent="0.35">
      <c r="A274" s="203" t="s">
        <v>112</v>
      </c>
      <c r="B274" s="1" t="s">
        <v>204</v>
      </c>
      <c r="C274" s="210"/>
      <c r="D274" s="206"/>
      <c r="E274" s="207"/>
      <c r="F274" s="206"/>
      <c r="G274" s="141"/>
      <c r="H274" s="206"/>
      <c r="I274" s="208"/>
      <c r="J274" s="208"/>
      <c r="K274" s="206"/>
    </row>
    <row r="275" spans="1:15" s="1" customFormat="1" hidden="1" x14ac:dyDescent="0.35">
      <c r="A275" t="s">
        <v>189</v>
      </c>
      <c r="B275" s="1" t="s">
        <v>205</v>
      </c>
      <c r="C275" s="210"/>
      <c r="D275" s="206"/>
      <c r="E275" s="207"/>
      <c r="F275" s="206"/>
      <c r="G275" s="141"/>
      <c r="H275" s="206"/>
      <c r="I275" s="208"/>
      <c r="J275" s="208"/>
      <c r="K275" s="206"/>
    </row>
    <row r="276" spans="1:15" s="1" customFormat="1" hidden="1" x14ac:dyDescent="0.35">
      <c r="A276" t="s">
        <v>188</v>
      </c>
      <c r="B276" s="1" t="s">
        <v>205</v>
      </c>
      <c r="C276" s="210"/>
      <c r="D276" s="206"/>
      <c r="E276" s="207"/>
      <c r="F276" s="206"/>
      <c r="G276" s="141"/>
      <c r="H276" s="206"/>
      <c r="I276" s="208"/>
      <c r="J276" s="208"/>
      <c r="K276" s="206"/>
    </row>
    <row r="277" spans="1:15" s="1" customFormat="1" hidden="1" x14ac:dyDescent="0.35">
      <c r="A277" s="209" t="s">
        <v>61</v>
      </c>
      <c r="B277" s="1" t="s">
        <v>205</v>
      </c>
    </row>
    <row r="278" spans="1:15" s="1" customFormat="1" hidden="1" x14ac:dyDescent="0.35">
      <c r="A278" s="203" t="s">
        <v>18</v>
      </c>
      <c r="B278" s="1" t="s">
        <v>205</v>
      </c>
    </row>
    <row r="279" spans="1:15" s="17" customFormat="1" x14ac:dyDescent="0.35">
      <c r="A279" s="147"/>
      <c r="B279" s="173"/>
      <c r="C279" s="169"/>
      <c r="D279" s="170"/>
      <c r="E279" s="171"/>
      <c r="F279" s="170"/>
      <c r="G279" s="169"/>
      <c r="H279" s="170"/>
      <c r="I279" s="172"/>
      <c r="J279" s="172"/>
      <c r="K279" s="170"/>
      <c r="L279" s="147"/>
      <c r="M279" s="147"/>
      <c r="N279" s="147"/>
      <c r="O279" s="68"/>
    </row>
    <row r="280" spans="1:15" s="17" customFormat="1" x14ac:dyDescent="0.35">
      <c r="A280" s="147" t="str">
        <f>+'MTX PRECIOS'!D118</f>
        <v>MVFANG+ BF-1 Rendimiento Efectivo del 30-abr-25 al 30-abr-26</v>
      </c>
      <c r="B280" s="147"/>
      <c r="C280" s="147"/>
      <c r="D280" s="147"/>
      <c r="E280" s="147"/>
      <c r="F280" s="147"/>
      <c r="G280" s="147"/>
      <c r="H280" s="147"/>
      <c r="I280" s="147"/>
      <c r="J280" s="147"/>
      <c r="K280" s="147"/>
      <c r="L280" s="147"/>
      <c r="M280" s="147"/>
      <c r="N280" s="147"/>
      <c r="O280" s="68"/>
    </row>
    <row r="281" spans="1:15" s="17" customFormat="1" x14ac:dyDescent="0.35">
      <c r="A281" s="147" t="str">
        <f>+'MTX PRECIOS'!D119</f>
        <v>MVFANG+ BF-1 Rendimiento Efectivo de los años más recientes</v>
      </c>
      <c r="B281" s="147"/>
      <c r="C281" s="147"/>
      <c r="D281" s="147"/>
      <c r="E281" s="147"/>
      <c r="F281" s="147"/>
      <c r="G281" s="147"/>
      <c r="H281" s="147"/>
      <c r="I281" s="147"/>
      <c r="J281" s="147"/>
      <c r="K281" s="147"/>
      <c r="L281" s="147"/>
      <c r="M281" s="147"/>
      <c r="N281" s="147"/>
      <c r="O281" s="68"/>
    </row>
    <row r="282" spans="1:15" s="17" customFormat="1" x14ac:dyDescent="0.35">
      <c r="A282" s="147"/>
      <c r="B282" s="147"/>
      <c r="C282" s="147"/>
      <c r="D282" s="147"/>
      <c r="E282" s="147"/>
      <c r="F282" s="147"/>
      <c r="G282" s="147"/>
      <c r="H282" s="147"/>
      <c r="I282" s="147"/>
      <c r="J282" s="147"/>
      <c r="K282" s="147"/>
      <c r="L282" s="147"/>
      <c r="M282" s="147"/>
      <c r="N282" s="147"/>
      <c r="O282" s="68"/>
    </row>
    <row r="283" spans="1:15" s="17" customFormat="1" x14ac:dyDescent="0.35">
      <c r="A283" s="173"/>
      <c r="B283" s="147"/>
      <c r="C283" s="147"/>
      <c r="D283" s="147"/>
      <c r="E283" s="147"/>
      <c r="F283" s="147"/>
      <c r="G283" s="147"/>
      <c r="H283" s="147"/>
      <c r="I283" s="147"/>
      <c r="J283" s="147"/>
      <c r="K283" s="147"/>
      <c r="L283" s="147"/>
      <c r="M283" s="147"/>
      <c r="N283" s="147"/>
      <c r="O283" s="68"/>
    </row>
    <row r="284" spans="1:15" s="17" customFormat="1" x14ac:dyDescent="0.35">
      <c r="A284" s="173"/>
      <c r="B284" s="147"/>
      <c r="C284" s="147"/>
      <c r="D284" s="147"/>
      <c r="E284" s="147"/>
      <c r="F284" s="147"/>
      <c r="G284" s="147"/>
      <c r="H284" s="147"/>
      <c r="I284" s="147"/>
      <c r="J284" s="147"/>
      <c r="K284" s="147"/>
      <c r="L284" s="147"/>
      <c r="M284" s="147"/>
      <c r="N284" s="147"/>
      <c r="O284" s="68"/>
    </row>
    <row r="285" spans="1:15" s="17" customFormat="1" x14ac:dyDescent="0.35">
      <c r="A285" s="147"/>
      <c r="B285" s="147"/>
      <c r="C285" s="147"/>
      <c r="D285" s="147"/>
      <c r="E285" s="147"/>
      <c r="F285" s="147"/>
      <c r="G285" s="147"/>
      <c r="H285" s="147"/>
      <c r="I285" s="147"/>
      <c r="J285" s="147"/>
      <c r="K285" s="147"/>
      <c r="L285" s="147"/>
      <c r="M285" s="147"/>
      <c r="N285" s="147"/>
      <c r="O285" s="68"/>
    </row>
    <row r="286" spans="1:15" s="17" customFormat="1" x14ac:dyDescent="0.35">
      <c r="A286" s="319" t="s">
        <v>182</v>
      </c>
      <c r="B286" s="319"/>
      <c r="C286" s="319"/>
      <c r="D286" s="319"/>
      <c r="E286" s="319"/>
      <c r="F286" s="319"/>
      <c r="G286" s="319"/>
      <c r="H286" s="319"/>
      <c r="I286" s="319"/>
      <c r="J286" s="319"/>
      <c r="K286" s="319"/>
      <c r="L286" s="319"/>
      <c r="M286" s="319"/>
      <c r="N286" s="319"/>
      <c r="O286" s="68"/>
    </row>
    <row r="287" spans="1:15" s="17" customFormat="1" x14ac:dyDescent="0.35">
      <c r="A287" s="319"/>
      <c r="B287" s="319"/>
      <c r="C287" s="319"/>
      <c r="D287" s="319"/>
      <c r="E287" s="319"/>
      <c r="F287" s="319"/>
      <c r="G287" s="319"/>
      <c r="H287" s="319"/>
      <c r="I287" s="319"/>
      <c r="J287" s="319"/>
      <c r="K287" s="319"/>
      <c r="L287" s="319"/>
      <c r="M287" s="319"/>
      <c r="N287" s="319"/>
      <c r="O287" s="68"/>
    </row>
    <row r="288" spans="1:15" s="17" customFormat="1" x14ac:dyDescent="0.35">
      <c r="A288" s="147"/>
      <c r="B288" s="147"/>
      <c r="C288" s="147"/>
      <c r="D288" s="147"/>
      <c r="E288" s="147"/>
      <c r="F288" s="147"/>
      <c r="G288" s="147"/>
      <c r="H288" s="147"/>
      <c r="I288" s="147"/>
      <c r="J288" s="147"/>
      <c r="K288" s="147"/>
      <c r="L288" s="147"/>
      <c r="M288" s="147"/>
      <c r="N288" s="147"/>
      <c r="O288" s="68"/>
    </row>
    <row r="289" spans="1:15" s="17" customFormat="1" x14ac:dyDescent="0.35">
      <c r="A289" s="147"/>
      <c r="B289" s="147"/>
      <c r="C289" s="147"/>
      <c r="D289" s="147"/>
      <c r="E289" s="147"/>
      <c r="F289" s="147"/>
      <c r="G289" s="147"/>
      <c r="H289" s="147"/>
      <c r="I289" s="147"/>
      <c r="J289" s="147"/>
      <c r="K289" s="147"/>
      <c r="L289" s="147"/>
      <c r="M289" s="147"/>
      <c r="N289" s="147"/>
      <c r="O289" s="68"/>
    </row>
    <row r="290" spans="1:15" s="17" customFormat="1" x14ac:dyDescent="0.35">
      <c r="A290" s="147"/>
      <c r="B290" s="147"/>
      <c r="C290" s="147"/>
      <c r="D290" s="147"/>
      <c r="E290" s="147"/>
      <c r="F290" s="147"/>
      <c r="G290" s="147"/>
      <c r="H290" s="147"/>
      <c r="I290" s="147"/>
      <c r="J290" s="147"/>
      <c r="K290" s="147"/>
      <c r="L290" s="147"/>
      <c r="M290" s="147"/>
      <c r="N290" s="147"/>
      <c r="O290" s="68"/>
    </row>
    <row r="291" spans="1:15" s="17" customFormat="1" x14ac:dyDescent="0.35">
      <c r="A291" s="147"/>
      <c r="B291" s="147"/>
      <c r="C291" s="147"/>
      <c r="D291" s="147"/>
      <c r="E291" s="147"/>
      <c r="F291" s="147"/>
      <c r="G291" s="147"/>
      <c r="H291" s="147"/>
      <c r="I291" s="147"/>
      <c r="J291" s="147"/>
      <c r="K291" s="147"/>
      <c r="L291" s="147"/>
      <c r="M291" s="147"/>
      <c r="N291" s="147"/>
      <c r="O291" s="68"/>
    </row>
    <row r="292" spans="1:15" s="17" customFormat="1" x14ac:dyDescent="0.35">
      <c r="A292" s="147"/>
      <c r="B292" s="147"/>
      <c r="C292" s="147"/>
      <c r="D292" s="147"/>
      <c r="E292" s="147"/>
      <c r="F292" s="147"/>
      <c r="G292" s="147"/>
      <c r="H292" s="147"/>
      <c r="I292" s="147"/>
      <c r="J292" s="147"/>
      <c r="K292" s="147"/>
      <c r="L292" s="147"/>
      <c r="M292" s="147"/>
      <c r="N292" s="147"/>
      <c r="O292" s="68"/>
    </row>
    <row r="293" spans="1:15" s="17" customFormat="1" x14ac:dyDescent="0.35">
      <c r="A293" s="147"/>
      <c r="B293" s="147"/>
      <c r="C293" s="147"/>
      <c r="D293" s="147"/>
      <c r="E293" s="147"/>
      <c r="F293" s="147"/>
      <c r="G293" s="147"/>
      <c r="H293" s="147"/>
      <c r="I293" s="147"/>
      <c r="J293" s="147"/>
      <c r="K293" s="147"/>
      <c r="L293" s="147"/>
      <c r="M293" s="147"/>
      <c r="N293" s="147"/>
      <c r="O293" s="68"/>
    </row>
    <row r="294" spans="1:15" s="17" customFormat="1" x14ac:dyDescent="0.35">
      <c r="A294" s="147"/>
      <c r="B294" s="147"/>
      <c r="C294" s="147"/>
      <c r="D294" s="147"/>
      <c r="E294" s="147"/>
      <c r="F294" s="147"/>
      <c r="G294" s="147"/>
      <c r="H294" s="147"/>
      <c r="I294" s="147"/>
      <c r="J294" s="147"/>
      <c r="K294" s="147"/>
      <c r="L294" s="147"/>
      <c r="M294" s="147"/>
      <c r="N294" s="147"/>
      <c r="O294" s="68"/>
    </row>
    <row r="295" spans="1:15" s="17" customFormat="1" x14ac:dyDescent="0.35">
      <c r="A295" s="147"/>
      <c r="B295" s="147"/>
      <c r="C295" s="147"/>
      <c r="D295" s="147"/>
      <c r="E295" s="147"/>
      <c r="F295" s="147"/>
      <c r="G295" s="147"/>
      <c r="H295" s="147"/>
      <c r="I295" s="147"/>
      <c r="J295" s="147"/>
      <c r="K295" s="147"/>
      <c r="L295" s="147"/>
      <c r="M295" s="147"/>
      <c r="N295" s="147"/>
      <c r="O295" s="68"/>
    </row>
    <row r="296" spans="1:15" s="17" customFormat="1" x14ac:dyDescent="0.35">
      <c r="A296" s="147"/>
      <c r="B296" s="147"/>
      <c r="C296" s="147"/>
      <c r="D296" s="147"/>
      <c r="E296" s="147"/>
      <c r="F296" s="147"/>
      <c r="G296" s="147"/>
      <c r="H296" s="147"/>
      <c r="I296" s="147"/>
      <c r="J296" s="147"/>
      <c r="K296" s="147"/>
      <c r="L296" s="147"/>
      <c r="M296" s="147"/>
      <c r="N296" s="147"/>
      <c r="O296" s="68"/>
    </row>
    <row r="297" spans="1:15" s="17" customFormat="1" x14ac:dyDescent="0.35">
      <c r="A297" s="147"/>
      <c r="B297" s="147"/>
      <c r="C297" s="147"/>
      <c r="D297" s="147"/>
      <c r="E297" s="147"/>
      <c r="F297" s="147"/>
      <c r="G297" s="147"/>
      <c r="H297" s="147"/>
      <c r="I297" s="147"/>
      <c r="J297" s="147"/>
      <c r="K297" s="147"/>
      <c r="L297" s="147"/>
      <c r="M297" s="147"/>
      <c r="N297" s="147"/>
      <c r="O297" s="68"/>
    </row>
    <row r="298" spans="1:15" s="17" customFormat="1" x14ac:dyDescent="0.35">
      <c r="A298" s="147"/>
      <c r="B298" s="147"/>
      <c r="C298" s="147"/>
      <c r="D298" s="147"/>
      <c r="E298" s="147"/>
      <c r="F298" s="147"/>
      <c r="G298" s="147"/>
      <c r="H298" s="147"/>
      <c r="I298" s="147"/>
      <c r="J298" s="147"/>
      <c r="K298" s="147"/>
      <c r="L298" s="147"/>
      <c r="M298" s="147"/>
      <c r="N298" s="147"/>
      <c r="O298" s="68"/>
    </row>
    <row r="299" spans="1:15" s="17" customFormat="1" x14ac:dyDescent="0.35">
      <c r="A299" s="147"/>
      <c r="B299" s="147"/>
      <c r="C299" s="147"/>
      <c r="D299" s="147"/>
      <c r="E299" s="147"/>
      <c r="F299" s="147"/>
      <c r="G299" s="147"/>
      <c r="H299" s="147"/>
      <c r="I299" s="147"/>
      <c r="J299" s="147"/>
      <c r="K299" s="147"/>
      <c r="L299" s="147"/>
      <c r="M299" s="147"/>
      <c r="N299" s="147"/>
      <c r="O299" s="68"/>
    </row>
    <row r="300" spans="1:15" s="17" customFormat="1" x14ac:dyDescent="0.35">
      <c r="A300" s="147"/>
      <c r="B300" s="147"/>
      <c r="C300" s="147"/>
      <c r="D300" s="147"/>
      <c r="E300" s="147"/>
      <c r="F300" s="147"/>
      <c r="G300" s="147"/>
      <c r="H300" s="147"/>
      <c r="I300" s="147"/>
      <c r="J300" s="147"/>
      <c r="K300" s="147"/>
      <c r="L300" s="147"/>
      <c r="M300" s="147"/>
      <c r="N300" s="147"/>
      <c r="O300" s="68"/>
    </row>
    <row r="301" spans="1:15" s="17" customFormat="1" x14ac:dyDescent="0.35">
      <c r="A301" s="147"/>
      <c r="B301" s="147"/>
      <c r="C301" s="147"/>
      <c r="D301" s="147"/>
      <c r="E301" s="147"/>
      <c r="F301" s="147"/>
      <c r="G301" s="147"/>
      <c r="H301" s="147"/>
      <c r="I301" s="147"/>
      <c r="J301" s="147"/>
      <c r="K301" s="147"/>
      <c r="L301" s="147"/>
      <c r="M301" s="147"/>
      <c r="N301" s="147"/>
      <c r="O301" s="68"/>
    </row>
    <row r="302" spans="1:15" s="17" customFormat="1" x14ac:dyDescent="0.35">
      <c r="A302" s="147"/>
      <c r="B302" s="147"/>
      <c r="C302" s="147"/>
      <c r="D302" s="147"/>
      <c r="E302" s="147"/>
      <c r="F302" s="147"/>
      <c r="G302" s="147"/>
      <c r="H302" s="147"/>
      <c r="I302" s="147"/>
      <c r="J302" s="147"/>
      <c r="K302" s="147"/>
      <c r="L302" s="147"/>
      <c r="M302" s="147"/>
      <c r="N302" s="147"/>
      <c r="O302" s="68"/>
    </row>
    <row r="303" spans="1:15" s="17" customFormat="1" x14ac:dyDescent="0.35">
      <c r="A303" s="147"/>
      <c r="B303" s="147"/>
      <c r="C303" s="147"/>
      <c r="D303" s="147"/>
      <c r="E303" s="147"/>
      <c r="F303" s="147"/>
      <c r="G303" s="147"/>
      <c r="H303" s="147"/>
      <c r="I303" s="147"/>
      <c r="J303" s="147"/>
      <c r="K303" s="147"/>
      <c r="L303" s="147"/>
      <c r="M303" s="147"/>
      <c r="N303" s="147"/>
      <c r="O303" s="68"/>
    </row>
    <row r="304" spans="1:15" s="17" customFormat="1" x14ac:dyDescent="0.35">
      <c r="A304" s="147"/>
      <c r="B304" s="147"/>
      <c r="C304" s="147"/>
      <c r="D304" s="147"/>
      <c r="E304" s="147"/>
      <c r="F304" s="147"/>
      <c r="G304" s="147"/>
      <c r="H304" s="147"/>
      <c r="I304" s="147"/>
      <c r="J304" s="147"/>
      <c r="K304" s="147"/>
      <c r="L304" s="147"/>
      <c r="M304" s="147"/>
      <c r="N304" s="147"/>
      <c r="O304" s="68"/>
    </row>
    <row r="305" spans="1:15" s="17" customFormat="1" x14ac:dyDescent="0.35">
      <c r="A305" s="147"/>
      <c r="B305" s="147"/>
      <c r="C305" s="147"/>
      <c r="D305" s="147"/>
      <c r="E305" s="147"/>
      <c r="F305" s="147"/>
      <c r="G305" s="147"/>
      <c r="H305" s="147"/>
      <c r="I305" s="147"/>
      <c r="J305" s="147"/>
      <c r="K305" s="147"/>
      <c r="L305" s="147"/>
      <c r="M305" s="147"/>
      <c r="N305" s="147"/>
      <c r="O305" s="68"/>
    </row>
    <row r="306" spans="1:15" s="17" customFormat="1" x14ac:dyDescent="0.35">
      <c r="A306" s="147"/>
      <c r="B306" s="147"/>
      <c r="C306" s="147"/>
      <c r="D306" s="147"/>
      <c r="E306" s="147"/>
      <c r="F306" s="147"/>
      <c r="G306" s="147"/>
      <c r="H306" s="147"/>
      <c r="I306" s="147"/>
      <c r="J306" s="147"/>
      <c r="K306" s="147"/>
      <c r="L306" s="147"/>
      <c r="M306" s="147"/>
      <c r="N306" s="147"/>
      <c r="O306" s="68"/>
    </row>
    <row r="307" spans="1:15" s="17" customFormat="1" x14ac:dyDescent="0.35">
      <c r="A307" s="147"/>
      <c r="B307" s="147"/>
      <c r="C307" s="147"/>
      <c r="D307" s="147"/>
      <c r="E307" s="147"/>
      <c r="F307" s="147"/>
      <c r="G307" s="147"/>
      <c r="H307" s="147"/>
      <c r="I307" s="147"/>
      <c r="J307" s="147"/>
      <c r="K307" s="147"/>
      <c r="L307" s="147"/>
      <c r="M307" s="147"/>
      <c r="N307" s="147"/>
      <c r="O307" s="68"/>
    </row>
    <row r="308" spans="1:15" s="17" customFormat="1" x14ac:dyDescent="0.35">
      <c r="A308" s="147"/>
      <c r="B308" s="147"/>
      <c r="C308" s="147"/>
      <c r="D308" s="147"/>
      <c r="E308" s="147"/>
      <c r="F308" s="147"/>
      <c r="G308" s="147"/>
      <c r="H308" s="147"/>
      <c r="I308" s="147"/>
      <c r="J308" s="147"/>
      <c r="K308" s="147"/>
      <c r="L308" s="147"/>
      <c r="M308" s="147"/>
      <c r="N308" s="147"/>
      <c r="O308" s="68"/>
    </row>
    <row r="309" spans="1:15" s="17" customFormat="1" x14ac:dyDescent="0.35">
      <c r="A309" s="147"/>
      <c r="B309" s="147"/>
      <c r="C309" s="147"/>
      <c r="D309" s="147"/>
      <c r="E309" s="147"/>
      <c r="F309" s="147"/>
      <c r="G309" s="147"/>
      <c r="H309" s="147"/>
      <c r="I309" s="147"/>
      <c r="J309" s="147"/>
      <c r="K309" s="147"/>
      <c r="L309" s="147"/>
      <c r="M309" s="147"/>
      <c r="N309" s="147"/>
      <c r="O309" s="68"/>
    </row>
    <row r="310" spans="1:15" s="17" customFormat="1" x14ac:dyDescent="0.35">
      <c r="A310" s="147"/>
      <c r="B310" s="147"/>
      <c r="C310" s="147"/>
      <c r="D310" s="147"/>
      <c r="E310" s="147"/>
      <c r="F310" s="147"/>
      <c r="G310" s="147"/>
      <c r="H310" s="147"/>
      <c r="I310" s="147"/>
      <c r="J310" s="147"/>
      <c r="K310" s="147"/>
      <c r="L310" s="147"/>
      <c r="M310" s="147"/>
      <c r="N310" s="147"/>
      <c r="O310" s="68"/>
    </row>
    <row r="311" spans="1:15" s="17" customFormat="1" x14ac:dyDescent="0.35">
      <c r="A311" s="147"/>
      <c r="B311" s="147"/>
      <c r="C311" s="147"/>
      <c r="D311" s="147"/>
      <c r="E311" s="147"/>
      <c r="F311" s="147"/>
      <c r="G311" s="147"/>
      <c r="H311" s="147"/>
      <c r="I311" s="147"/>
      <c r="J311" s="147"/>
      <c r="K311" s="147"/>
      <c r="L311" s="147"/>
      <c r="M311" s="147"/>
      <c r="N311" s="147"/>
      <c r="O311" s="68"/>
    </row>
    <row r="312" spans="1:15" s="17" customFormat="1" x14ac:dyDescent="0.35">
      <c r="A312" s="147"/>
      <c r="B312" s="147"/>
      <c r="C312" s="147"/>
      <c r="D312" s="147"/>
      <c r="E312" s="147"/>
      <c r="F312" s="147"/>
      <c r="G312" s="147"/>
      <c r="H312" s="147"/>
      <c r="I312" s="147"/>
      <c r="J312" s="147"/>
      <c r="K312" s="147"/>
      <c r="L312" s="147"/>
      <c r="M312" s="147"/>
      <c r="N312" s="147"/>
      <c r="O312" s="68"/>
    </row>
    <row r="313" spans="1:15" s="17" customFormat="1" x14ac:dyDescent="0.35">
      <c r="A313" s="147"/>
      <c r="B313" s="147"/>
      <c r="C313" s="147"/>
      <c r="D313" s="147"/>
      <c r="E313" s="147"/>
      <c r="F313" s="147"/>
      <c r="G313" s="147"/>
      <c r="H313" s="147"/>
      <c r="I313" s="147"/>
      <c r="J313" s="147"/>
      <c r="K313" s="147"/>
      <c r="L313" s="147"/>
      <c r="M313" s="147"/>
      <c r="N313" s="147"/>
      <c r="O313" s="68"/>
    </row>
    <row r="314" spans="1:15" s="17" customFormat="1" x14ac:dyDescent="0.35">
      <c r="A314" s="147"/>
      <c r="B314" s="147"/>
      <c r="C314" s="147"/>
      <c r="D314" s="147"/>
      <c r="E314" s="147"/>
      <c r="F314" s="147"/>
      <c r="G314" s="147"/>
      <c r="H314" s="147"/>
      <c r="I314" s="147"/>
      <c r="J314" s="147"/>
      <c r="K314" s="147"/>
      <c r="L314" s="147"/>
      <c r="M314" s="147"/>
      <c r="N314" s="147"/>
      <c r="O314" s="68"/>
    </row>
    <row r="315" spans="1:15" s="17" customFormat="1" x14ac:dyDescent="0.35">
      <c r="A315" s="147"/>
      <c r="B315" s="147"/>
      <c r="C315" s="147"/>
      <c r="D315" s="147"/>
      <c r="E315" s="147"/>
      <c r="F315" s="147"/>
      <c r="G315" s="147"/>
      <c r="H315" s="147"/>
      <c r="I315" s="147"/>
      <c r="J315" s="147"/>
      <c r="K315" s="147"/>
      <c r="L315" s="147"/>
      <c r="M315" s="147"/>
      <c r="N315" s="147"/>
      <c r="O315" s="68"/>
    </row>
    <row r="316" spans="1:15" s="17" customFormat="1" x14ac:dyDescent="0.35">
      <c r="A316" s="68"/>
      <c r="B316" s="68"/>
      <c r="C316" s="68"/>
      <c r="D316" s="68"/>
      <c r="E316" s="68"/>
      <c r="F316" s="68"/>
      <c r="G316" s="68"/>
      <c r="H316" s="68"/>
      <c r="I316" s="68"/>
      <c r="J316" s="68"/>
      <c r="K316" s="68"/>
      <c r="L316" s="68"/>
      <c r="M316" s="68"/>
      <c r="N316" s="68"/>
      <c r="O316" s="68"/>
    </row>
    <row r="317" spans="1:15" s="17" customFormat="1" x14ac:dyDescent="0.35">
      <c r="A317" s="68"/>
      <c r="B317" s="68"/>
      <c r="C317" s="68"/>
      <c r="D317" s="68"/>
      <c r="E317" s="68"/>
      <c r="F317" s="68"/>
      <c r="G317" s="68"/>
      <c r="H317" s="68"/>
      <c r="I317" s="68"/>
      <c r="J317" s="68"/>
      <c r="K317" s="68"/>
      <c r="L317" s="68"/>
      <c r="M317" s="68"/>
      <c r="N317" s="68"/>
      <c r="O317" s="68"/>
    </row>
    <row r="318" spans="1:15" s="17" customFormat="1" x14ac:dyDescent="0.35">
      <c r="A318" s="68"/>
      <c r="B318" s="68"/>
      <c r="C318" s="68"/>
      <c r="D318" s="68"/>
      <c r="E318" s="68"/>
      <c r="F318" s="68"/>
      <c r="G318" s="68"/>
      <c r="H318" s="68"/>
      <c r="I318" s="68"/>
      <c r="J318" s="68"/>
      <c r="K318" s="68"/>
      <c r="L318" s="68"/>
      <c r="M318" s="68"/>
      <c r="N318" s="68"/>
      <c r="O318" s="68"/>
    </row>
    <row r="319" spans="1:15" s="17" customFormat="1" x14ac:dyDescent="0.35">
      <c r="A319" s="68"/>
      <c r="B319" s="68"/>
      <c r="C319" s="68"/>
      <c r="D319" s="68"/>
      <c r="E319" s="68"/>
      <c r="F319" s="68"/>
      <c r="G319" s="68"/>
      <c r="H319" s="68"/>
      <c r="I319" s="68"/>
      <c r="J319" s="68"/>
      <c r="K319" s="68"/>
      <c r="L319" s="68"/>
      <c r="M319" s="68"/>
      <c r="N319" s="68"/>
      <c r="O319" s="68"/>
    </row>
    <row r="320" spans="1:15" s="17" customFormat="1" x14ac:dyDescent="0.35">
      <c r="A320" s="68"/>
      <c r="B320" s="68"/>
      <c r="C320" s="68"/>
      <c r="D320" s="68"/>
      <c r="E320" s="68"/>
      <c r="F320" s="68"/>
      <c r="G320" s="68"/>
      <c r="H320" s="68"/>
      <c r="I320" s="68"/>
      <c r="J320" s="68"/>
      <c r="K320" s="68"/>
      <c r="L320" s="68"/>
      <c r="M320" s="68"/>
      <c r="N320" s="68"/>
      <c r="O320" s="68"/>
    </row>
    <row r="321" spans="1:15" s="17" customFormat="1" x14ac:dyDescent="0.35">
      <c r="A321" s="68"/>
      <c r="B321" s="68"/>
      <c r="C321" s="68"/>
      <c r="D321" s="68"/>
      <c r="E321" s="68"/>
      <c r="F321" s="68"/>
      <c r="G321" s="68"/>
      <c r="H321" s="68"/>
      <c r="I321" s="68"/>
      <c r="J321" s="68"/>
      <c r="K321" s="68"/>
      <c r="L321" s="68"/>
      <c r="M321" s="68"/>
      <c r="N321" s="68"/>
      <c r="O321" s="68"/>
    </row>
    <row r="322" spans="1:15" s="17" customFormat="1" x14ac:dyDescent="0.35">
      <c r="A322" s="68"/>
      <c r="B322" s="68"/>
      <c r="C322" s="68"/>
      <c r="D322" s="68"/>
      <c r="E322" s="68"/>
      <c r="F322" s="68"/>
      <c r="G322" s="68"/>
      <c r="H322" s="68"/>
      <c r="I322" s="68"/>
      <c r="J322" s="68"/>
      <c r="K322" s="68"/>
      <c r="L322" s="68"/>
      <c r="M322" s="68"/>
      <c r="N322" s="68"/>
      <c r="O322" s="68"/>
    </row>
    <row r="323" spans="1:15" s="17" customFormat="1" x14ac:dyDescent="0.35">
      <c r="A323" s="68"/>
      <c r="B323" s="68"/>
      <c r="C323" s="68"/>
      <c r="D323" s="68"/>
      <c r="E323" s="68"/>
      <c r="F323" s="68"/>
      <c r="G323" s="68"/>
      <c r="H323" s="68"/>
      <c r="I323" s="68"/>
      <c r="J323" s="68"/>
      <c r="K323" s="68"/>
      <c r="L323" s="68"/>
      <c r="M323" s="68"/>
      <c r="N323" s="68"/>
      <c r="O323" s="68"/>
    </row>
    <row r="324" spans="1:15" s="17" customFormat="1" x14ac:dyDescent="0.35">
      <c r="A324" s="68"/>
      <c r="B324" s="68"/>
      <c r="C324" s="68"/>
      <c r="D324" s="68"/>
      <c r="E324" s="68"/>
      <c r="F324" s="68"/>
      <c r="G324" s="68"/>
      <c r="H324" s="68"/>
      <c r="I324" s="68"/>
      <c r="J324" s="68"/>
      <c r="K324" s="68"/>
      <c r="L324" s="68"/>
      <c r="M324" s="68"/>
      <c r="N324" s="68"/>
      <c r="O324" s="68"/>
    </row>
    <row r="325" spans="1:15" s="17" customFormat="1" x14ac:dyDescent="0.35">
      <c r="A325" s="68"/>
      <c r="B325" s="68"/>
      <c r="C325" s="68"/>
      <c r="D325" s="68"/>
      <c r="E325" s="68"/>
      <c r="F325" s="68"/>
      <c r="G325" s="68"/>
      <c r="H325" s="68"/>
      <c r="I325" s="68"/>
      <c r="J325" s="68"/>
      <c r="K325" s="68"/>
      <c r="L325" s="68"/>
      <c r="M325" s="68"/>
      <c r="N325" s="68"/>
      <c r="O325" s="68"/>
    </row>
    <row r="326" spans="1:15" s="17" customFormat="1" x14ac:dyDescent="0.35">
      <c r="A326" s="68"/>
      <c r="B326" s="68"/>
      <c r="C326" s="68"/>
      <c r="D326" s="68"/>
      <c r="E326" s="68"/>
      <c r="F326" s="68"/>
      <c r="G326" s="68"/>
      <c r="H326" s="68"/>
      <c r="I326" s="68"/>
      <c r="J326" s="68"/>
      <c r="K326" s="68"/>
      <c r="L326" s="68"/>
      <c r="M326" s="68"/>
      <c r="N326" s="68"/>
      <c r="O326" s="68"/>
    </row>
    <row r="327" spans="1:15" s="17" customFormat="1" x14ac:dyDescent="0.35">
      <c r="A327" s="68"/>
      <c r="B327" s="68"/>
      <c r="C327" s="68"/>
      <c r="D327" s="68"/>
      <c r="E327" s="68"/>
      <c r="F327" s="68"/>
      <c r="G327" s="68"/>
      <c r="H327" s="68"/>
      <c r="I327" s="68"/>
      <c r="J327" s="68"/>
      <c r="K327" s="68"/>
      <c r="L327" s="68"/>
      <c r="M327" s="68"/>
      <c r="N327" s="68"/>
      <c r="O327" s="68"/>
    </row>
    <row r="328" spans="1:15" s="17" customFormat="1" x14ac:dyDescent="0.35">
      <c r="A328" s="68"/>
      <c r="B328" s="68"/>
      <c r="C328" s="68"/>
      <c r="D328" s="68"/>
      <c r="E328" s="68"/>
      <c r="F328" s="68"/>
      <c r="G328" s="68"/>
      <c r="H328" s="68"/>
      <c r="I328" s="68"/>
      <c r="J328" s="68"/>
      <c r="K328" s="68"/>
      <c r="L328" s="68"/>
      <c r="M328" s="68"/>
      <c r="N328" s="68"/>
      <c r="O328" s="68"/>
    </row>
    <row r="329" spans="1:15" s="17" customFormat="1" x14ac:dyDescent="0.35">
      <c r="A329" s="68"/>
      <c r="B329" s="68"/>
      <c r="C329" s="68"/>
      <c r="D329" s="68"/>
      <c r="E329" s="68"/>
      <c r="F329" s="68"/>
      <c r="G329" s="68"/>
      <c r="H329" s="68"/>
      <c r="I329" s="68"/>
      <c r="J329" s="68"/>
      <c r="K329" s="68"/>
      <c r="L329" s="68"/>
      <c r="M329" s="68"/>
      <c r="N329" s="68"/>
      <c r="O329" s="68"/>
    </row>
    <row r="330" spans="1:15" s="13" customFormat="1" x14ac:dyDescent="0.35">
      <c r="A330" s="68"/>
      <c r="B330" s="68"/>
      <c r="C330" s="68"/>
      <c r="D330" s="68"/>
      <c r="E330" s="68"/>
      <c r="F330" s="68"/>
      <c r="G330" s="68"/>
      <c r="H330" s="68"/>
      <c r="I330" s="68"/>
      <c r="J330" s="68"/>
      <c r="K330" s="68"/>
      <c r="L330" s="68"/>
      <c r="M330" s="68"/>
      <c r="N330" s="68"/>
      <c r="O330" s="68"/>
    </row>
    <row r="331" spans="1:15" s="13" customFormat="1" x14ac:dyDescent="0.35">
      <c r="A331" s="68"/>
      <c r="B331" s="68"/>
      <c r="C331" s="68"/>
      <c r="D331" s="68"/>
      <c r="E331" s="68"/>
      <c r="F331" s="68"/>
      <c r="G331" s="68"/>
      <c r="H331" s="68"/>
      <c r="I331" s="68"/>
      <c r="J331" s="68"/>
      <c r="K331" s="68"/>
      <c r="L331" s="68"/>
      <c r="M331" s="68"/>
      <c r="N331" s="68"/>
      <c r="O331" s="68"/>
    </row>
    <row r="332" spans="1:15" s="13" customFormat="1" x14ac:dyDescent="0.35">
      <c r="A332" s="68"/>
      <c r="B332" s="68"/>
      <c r="C332" s="68"/>
      <c r="D332" s="68"/>
      <c r="E332" s="68"/>
      <c r="F332" s="68"/>
      <c r="G332" s="68"/>
      <c r="H332" s="68"/>
      <c r="I332" s="68"/>
      <c r="J332" s="68"/>
      <c r="K332" s="68"/>
      <c r="L332" s="68"/>
      <c r="M332" s="68"/>
      <c r="N332" s="68"/>
      <c r="O332" s="68"/>
    </row>
    <row r="333" spans="1:15" s="13" customFormat="1" x14ac:dyDescent="0.35">
      <c r="A333" s="68"/>
      <c r="B333" s="68"/>
      <c r="C333" s="68"/>
      <c r="D333" s="68"/>
      <c r="E333" s="68"/>
      <c r="F333" s="68"/>
      <c r="G333" s="68"/>
      <c r="H333" s="68"/>
      <c r="I333" s="68"/>
      <c r="J333" s="68"/>
      <c r="K333" s="68"/>
      <c r="L333" s="68"/>
      <c r="M333" s="68"/>
      <c r="N333" s="68"/>
      <c r="O333" s="68"/>
    </row>
    <row r="334" spans="1:15" s="13" customFormat="1" x14ac:dyDescent="0.35">
      <c r="A334" s="68"/>
      <c r="B334" s="68"/>
      <c r="C334" s="68"/>
      <c r="D334" s="68"/>
      <c r="E334" s="68"/>
      <c r="F334" s="68"/>
      <c r="G334" s="68"/>
      <c r="H334" s="68"/>
      <c r="I334" s="68"/>
      <c r="J334" s="68"/>
      <c r="K334" s="68"/>
      <c r="L334" s="68"/>
      <c r="M334" s="68"/>
      <c r="N334" s="68"/>
      <c r="O334" s="68"/>
    </row>
    <row r="335" spans="1:15" s="13" customFormat="1" x14ac:dyDescent="0.35">
      <c r="A335" s="68"/>
      <c r="B335" s="68"/>
      <c r="C335" s="68"/>
      <c r="D335" s="68"/>
      <c r="E335" s="68"/>
      <c r="F335" s="68"/>
      <c r="G335" s="68"/>
      <c r="H335" s="68"/>
      <c r="I335" s="68"/>
      <c r="J335" s="68"/>
      <c r="K335" s="68"/>
      <c r="L335" s="68"/>
      <c r="M335" s="68"/>
      <c r="N335" s="68"/>
      <c r="O335" s="68"/>
    </row>
    <row r="336" spans="1:15" s="13" customFormat="1" x14ac:dyDescent="0.35">
      <c r="A336" s="68"/>
      <c r="B336" s="68"/>
      <c r="C336" s="68"/>
      <c r="D336" s="68"/>
      <c r="E336" s="68"/>
      <c r="F336" s="68"/>
      <c r="G336" s="68"/>
      <c r="H336" s="68"/>
      <c r="I336" s="68"/>
      <c r="J336" s="68"/>
      <c r="K336" s="68"/>
      <c r="L336" s="68"/>
      <c r="M336" s="68"/>
      <c r="N336" s="68"/>
      <c r="O336" s="68"/>
    </row>
    <row r="337" spans="1:15" s="8" customFormat="1" x14ac:dyDescent="0.35">
      <c r="A337" s="68"/>
      <c r="B337" s="68"/>
      <c r="C337" s="68"/>
      <c r="D337" s="68"/>
      <c r="E337" s="68"/>
      <c r="F337" s="68"/>
      <c r="G337" s="68"/>
      <c r="H337" s="68"/>
      <c r="I337" s="68"/>
      <c r="J337" s="68"/>
      <c r="K337" s="68"/>
      <c r="L337" s="68"/>
      <c r="M337" s="68"/>
      <c r="N337" s="68"/>
      <c r="O337" s="68"/>
    </row>
    <row r="338" spans="1:15" s="8" customFormat="1" x14ac:dyDescent="0.35">
      <c r="A338" s="68"/>
      <c r="B338" s="68"/>
      <c r="C338" s="68"/>
      <c r="D338" s="68"/>
      <c r="E338" s="68"/>
      <c r="F338" s="68"/>
      <c r="G338" s="68"/>
      <c r="H338" s="68"/>
      <c r="I338" s="68"/>
      <c r="J338" s="68"/>
      <c r="K338" s="68"/>
      <c r="L338" s="68"/>
      <c r="M338" s="68"/>
      <c r="N338" s="68"/>
      <c r="O338" s="68"/>
    </row>
    <row r="339" spans="1:15" s="8" customFormat="1" x14ac:dyDescent="0.35">
      <c r="A339" s="68"/>
      <c r="B339" s="68"/>
      <c r="C339" s="68"/>
      <c r="D339" s="68"/>
      <c r="E339" s="68"/>
      <c r="F339" s="68"/>
      <c r="G339" s="68"/>
      <c r="H339" s="68"/>
      <c r="I339" s="68"/>
      <c r="J339" s="68"/>
      <c r="K339" s="68"/>
      <c r="L339" s="68"/>
      <c r="M339" s="68"/>
      <c r="N339" s="68"/>
      <c r="O339" s="68"/>
    </row>
    <row r="340" spans="1:15" s="8" customFormat="1" x14ac:dyDescent="0.35">
      <c r="A340" s="68"/>
      <c r="B340" s="68"/>
      <c r="C340" s="68"/>
      <c r="D340" s="68"/>
      <c r="E340" s="68"/>
      <c r="F340" s="68"/>
      <c r="G340" s="68"/>
      <c r="H340" s="68"/>
      <c r="I340" s="68"/>
      <c r="J340" s="68"/>
      <c r="K340" s="68"/>
      <c r="L340" s="68"/>
      <c r="M340" s="68"/>
      <c r="N340" s="68"/>
      <c r="O340" s="68"/>
    </row>
    <row r="341" spans="1:15" s="8" customFormat="1" x14ac:dyDescent="0.35">
      <c r="A341" s="68"/>
      <c r="B341" s="68"/>
      <c r="C341" s="68"/>
      <c r="D341" s="68"/>
      <c r="E341" s="68"/>
      <c r="F341" s="68"/>
      <c r="G341" s="68"/>
      <c r="H341" s="68"/>
      <c r="I341" s="68"/>
      <c r="J341" s="68"/>
      <c r="K341" s="68"/>
      <c r="L341" s="68"/>
      <c r="M341" s="68"/>
      <c r="N341" s="68"/>
      <c r="O341" s="68"/>
    </row>
    <row r="342" spans="1:15" s="8" customFormat="1" x14ac:dyDescent="0.35">
      <c r="A342" s="68"/>
      <c r="B342" s="68"/>
      <c r="C342" s="68"/>
      <c r="D342" s="68"/>
      <c r="E342" s="68"/>
      <c r="F342" s="68"/>
      <c r="G342" s="68"/>
      <c r="H342" s="68"/>
      <c r="I342" s="68"/>
      <c r="J342" s="68"/>
      <c r="K342" s="68"/>
      <c r="L342" s="68"/>
      <c r="M342" s="68"/>
      <c r="N342" s="68"/>
      <c r="O342" s="68"/>
    </row>
    <row r="343" spans="1:15" s="8" customFormat="1" x14ac:dyDescent="0.35">
      <c r="A343" s="68"/>
      <c r="B343" s="68"/>
      <c r="C343" s="68"/>
      <c r="D343" s="68"/>
      <c r="E343" s="68"/>
      <c r="F343" s="68"/>
      <c r="G343" s="68"/>
      <c r="H343" s="68"/>
      <c r="I343" s="68"/>
      <c r="J343" s="68"/>
      <c r="K343" s="68"/>
      <c r="L343" s="68"/>
      <c r="M343" s="68"/>
      <c r="N343" s="68"/>
      <c r="O343" s="68"/>
    </row>
    <row r="344" spans="1:15" s="8" customFormat="1" x14ac:dyDescent="0.35">
      <c r="A344" s="68"/>
      <c r="B344" s="68"/>
      <c r="C344" s="68"/>
      <c r="D344" s="68"/>
      <c r="E344" s="68"/>
      <c r="F344" s="68"/>
      <c r="G344" s="68"/>
      <c r="H344" s="68"/>
      <c r="I344" s="68"/>
      <c r="J344" s="68"/>
      <c r="K344" s="68"/>
      <c r="L344" s="68"/>
      <c r="M344" s="68"/>
      <c r="N344" s="68"/>
      <c r="O344" s="68"/>
    </row>
    <row r="345" spans="1:15" s="8" customFormat="1" x14ac:dyDescent="0.35">
      <c r="A345" s="68"/>
      <c r="B345" s="68"/>
      <c r="C345" s="68"/>
      <c r="D345" s="68"/>
      <c r="E345" s="68"/>
      <c r="F345" s="68"/>
      <c r="G345" s="68"/>
      <c r="H345" s="68"/>
      <c r="I345" s="68"/>
      <c r="J345" s="68"/>
      <c r="K345" s="68"/>
      <c r="L345" s="68"/>
      <c r="M345" s="68"/>
      <c r="N345" s="68"/>
      <c r="O345" s="68"/>
    </row>
    <row r="346" spans="1:15" s="8" customFormat="1" x14ac:dyDescent="0.35">
      <c r="A346" s="68"/>
      <c r="B346" s="68"/>
      <c r="C346" s="68"/>
      <c r="D346" s="68"/>
      <c r="E346" s="68"/>
      <c r="F346" s="68"/>
      <c r="G346" s="68"/>
      <c r="H346" s="68"/>
      <c r="I346" s="68"/>
      <c r="J346" s="68"/>
      <c r="K346" s="68"/>
      <c r="L346" s="68"/>
      <c r="M346" s="68"/>
      <c r="N346" s="68"/>
      <c r="O346" s="68"/>
    </row>
    <row r="347" spans="1:15" s="8" customFormat="1" x14ac:dyDescent="0.35">
      <c r="A347" s="68"/>
      <c r="B347" s="68"/>
      <c r="C347" s="68"/>
      <c r="D347" s="68"/>
      <c r="E347" s="68"/>
      <c r="F347" s="68"/>
      <c r="G347" s="68"/>
      <c r="H347" s="68"/>
      <c r="I347" s="68"/>
      <c r="J347" s="68"/>
      <c r="K347" s="68"/>
      <c r="L347" s="68"/>
      <c r="M347" s="68"/>
      <c r="N347" s="68"/>
      <c r="O347" s="68"/>
    </row>
    <row r="348" spans="1:15" s="8" customFormat="1" x14ac:dyDescent="0.35">
      <c r="A348" s="68"/>
      <c r="B348" s="68"/>
      <c r="C348" s="68"/>
      <c r="D348" s="68"/>
      <c r="E348" s="68"/>
      <c r="F348" s="68"/>
      <c r="G348" s="68"/>
      <c r="H348" s="68"/>
      <c r="I348" s="68"/>
      <c r="J348" s="68"/>
      <c r="K348" s="68"/>
      <c r="L348" s="68"/>
      <c r="M348" s="68"/>
      <c r="N348" s="68"/>
      <c r="O348" s="68"/>
    </row>
    <row r="349" spans="1:15" s="8" customFormat="1" x14ac:dyDescent="0.35">
      <c r="A349" s="68"/>
      <c r="B349" s="68"/>
      <c r="C349" s="68"/>
      <c r="D349" s="68"/>
      <c r="E349" s="68"/>
      <c r="F349" s="68"/>
      <c r="G349" s="68"/>
      <c r="H349" s="68"/>
      <c r="I349" s="68"/>
      <c r="J349" s="68"/>
      <c r="K349" s="68"/>
      <c r="L349" s="68"/>
      <c r="M349" s="68"/>
      <c r="N349" s="68"/>
      <c r="O349" s="68"/>
    </row>
    <row r="350" spans="1:15" s="8" customFormat="1" x14ac:dyDescent="0.35">
      <c r="A350" s="68"/>
      <c r="B350" s="68"/>
      <c r="C350" s="68"/>
      <c r="D350" s="68"/>
      <c r="E350" s="68"/>
      <c r="F350" s="68"/>
      <c r="G350" s="68"/>
      <c r="H350" s="68"/>
      <c r="I350" s="68"/>
      <c r="J350" s="68"/>
      <c r="K350" s="68"/>
      <c r="L350" s="68"/>
      <c r="M350" s="68"/>
      <c r="N350" s="68"/>
      <c r="O350" s="68"/>
    </row>
    <row r="351" spans="1:15" s="8" customFormat="1" x14ac:dyDescent="0.35">
      <c r="A351" s="68"/>
      <c r="B351" s="68"/>
      <c r="C351" s="68"/>
      <c r="D351" s="68"/>
      <c r="E351" s="68"/>
      <c r="F351" s="68"/>
      <c r="G351" s="68"/>
      <c r="H351" s="68"/>
      <c r="I351" s="68"/>
      <c r="J351" s="68"/>
      <c r="K351" s="68"/>
      <c r="L351" s="68"/>
      <c r="M351" s="68"/>
      <c r="N351" s="68"/>
      <c r="O351" s="68"/>
    </row>
    <row r="352" spans="1:15" s="8" customFormat="1" x14ac:dyDescent="0.35">
      <c r="A352" s="68"/>
      <c r="B352" s="68"/>
      <c r="C352" s="68"/>
      <c r="D352" s="68"/>
      <c r="E352" s="68"/>
      <c r="F352" s="68"/>
      <c r="G352" s="68"/>
      <c r="H352" s="68"/>
      <c r="I352" s="68"/>
      <c r="J352" s="68"/>
      <c r="K352" s="68"/>
      <c r="L352" s="68"/>
      <c r="M352" s="68"/>
      <c r="N352" s="68"/>
      <c r="O352" s="68"/>
    </row>
    <row r="353" spans="1:15" s="8" customFormat="1" x14ac:dyDescent="0.35">
      <c r="A353" s="68"/>
      <c r="B353" s="68"/>
      <c r="C353" s="68"/>
      <c r="D353" s="68"/>
      <c r="E353" s="68"/>
      <c r="F353" s="68"/>
      <c r="G353" s="68"/>
      <c r="H353" s="68"/>
      <c r="I353" s="68"/>
      <c r="J353" s="68"/>
      <c r="K353" s="68"/>
      <c r="L353" s="68"/>
      <c r="M353" s="68"/>
      <c r="N353" s="68"/>
      <c r="O353" s="68"/>
    </row>
    <row r="354" spans="1:15" s="8" customFormat="1" x14ac:dyDescent="0.35">
      <c r="A354" s="68"/>
      <c r="B354" s="68"/>
      <c r="C354" s="68"/>
      <c r="D354" s="68"/>
      <c r="E354" s="68"/>
      <c r="F354" s="68"/>
      <c r="G354" s="68"/>
      <c r="H354" s="68"/>
      <c r="I354" s="68"/>
      <c r="J354" s="68"/>
      <c r="K354" s="68"/>
      <c r="L354" s="68"/>
      <c r="M354" s="68"/>
      <c r="N354" s="68"/>
      <c r="O354" s="68"/>
    </row>
    <row r="355" spans="1:15" s="8" customFormat="1" x14ac:dyDescent="0.35">
      <c r="A355" s="68"/>
      <c r="B355" s="68"/>
      <c r="C355" s="68"/>
      <c r="D355" s="68"/>
      <c r="E355" s="68"/>
      <c r="F355" s="68"/>
      <c r="G355" s="68"/>
      <c r="H355" s="68"/>
      <c r="I355" s="68"/>
      <c r="J355" s="68"/>
      <c r="K355" s="68"/>
      <c r="L355" s="68"/>
      <c r="M355" s="68"/>
      <c r="N355" s="68"/>
      <c r="O355" s="68"/>
    </row>
    <row r="356" spans="1:15" s="8" customFormat="1" x14ac:dyDescent="0.35">
      <c r="A356" s="68"/>
      <c r="B356" s="68"/>
      <c r="C356" s="68"/>
      <c r="D356" s="68"/>
      <c r="E356" s="68"/>
      <c r="F356" s="68"/>
      <c r="G356" s="68"/>
      <c r="H356" s="68"/>
      <c r="I356" s="68"/>
      <c r="J356" s="68"/>
      <c r="K356" s="68"/>
      <c r="L356" s="68"/>
      <c r="M356" s="68"/>
      <c r="N356" s="68"/>
      <c r="O356" s="68"/>
    </row>
    <row r="357" spans="1:15" s="8" customFormat="1" x14ac:dyDescent="0.35">
      <c r="A357" s="68"/>
      <c r="B357" s="68"/>
      <c r="C357" s="68"/>
      <c r="D357" s="68"/>
      <c r="E357" s="68"/>
      <c r="F357" s="68"/>
      <c r="G357" s="68"/>
      <c r="H357" s="68"/>
      <c r="I357" s="68"/>
      <c r="J357" s="68"/>
      <c r="K357" s="68"/>
      <c r="L357" s="68"/>
      <c r="M357" s="68"/>
      <c r="N357" s="68"/>
      <c r="O357" s="68"/>
    </row>
    <row r="358" spans="1:15" s="8" customFormat="1" x14ac:dyDescent="0.35">
      <c r="A358" s="68"/>
      <c r="B358" s="68"/>
      <c r="C358" s="68"/>
      <c r="D358" s="68"/>
      <c r="E358" s="68"/>
      <c r="F358" s="68"/>
      <c r="G358" s="68"/>
      <c r="H358" s="68"/>
      <c r="I358" s="68"/>
      <c r="J358" s="68"/>
      <c r="K358" s="68"/>
      <c r="L358" s="68"/>
      <c r="M358" s="68"/>
      <c r="N358" s="68"/>
      <c r="O358" s="68"/>
    </row>
    <row r="359" spans="1:15" s="8" customFormat="1" x14ac:dyDescent="0.35">
      <c r="A359" s="68"/>
      <c r="B359" s="68"/>
      <c r="C359" s="68"/>
      <c r="D359" s="68"/>
      <c r="E359" s="68"/>
      <c r="F359" s="68"/>
      <c r="G359" s="68"/>
      <c r="H359" s="68"/>
      <c r="I359" s="68"/>
      <c r="J359" s="68"/>
      <c r="K359" s="68"/>
      <c r="L359" s="68"/>
      <c r="M359" s="68"/>
      <c r="N359" s="68"/>
      <c r="O359" s="68"/>
    </row>
    <row r="360" spans="1:15" s="8" customFormat="1" x14ac:dyDescent="0.35">
      <c r="A360" s="68"/>
      <c r="B360" s="68"/>
      <c r="C360" s="68"/>
      <c r="D360" s="68"/>
      <c r="E360" s="68"/>
      <c r="F360" s="68"/>
      <c r="G360" s="68"/>
      <c r="H360" s="68"/>
      <c r="I360" s="68"/>
      <c r="J360" s="68"/>
      <c r="K360" s="68"/>
      <c r="L360" s="68"/>
      <c r="M360" s="68"/>
      <c r="N360" s="68"/>
      <c r="O360" s="68"/>
    </row>
    <row r="361" spans="1:15" s="8" customFormat="1" x14ac:dyDescent="0.35">
      <c r="A361" s="68"/>
      <c r="B361" s="68"/>
      <c r="C361" s="68"/>
      <c r="D361" s="68"/>
      <c r="E361" s="68"/>
      <c r="F361" s="68"/>
      <c r="G361" s="68"/>
      <c r="H361" s="68"/>
      <c r="I361" s="68"/>
      <c r="J361" s="68"/>
      <c r="K361" s="68"/>
      <c r="L361" s="68"/>
      <c r="M361" s="68"/>
      <c r="N361" s="68"/>
      <c r="O361" s="68"/>
    </row>
    <row r="362" spans="1:15" s="8" customFormat="1" x14ac:dyDescent="0.35">
      <c r="A362" s="68"/>
      <c r="B362" s="68"/>
      <c r="C362" s="68"/>
      <c r="D362" s="68"/>
      <c r="E362" s="68"/>
      <c r="F362" s="68"/>
      <c r="G362" s="68"/>
      <c r="H362" s="68"/>
      <c r="I362" s="68"/>
      <c r="J362" s="68"/>
      <c r="K362" s="68"/>
      <c r="L362" s="68"/>
      <c r="M362" s="68"/>
      <c r="N362" s="68"/>
      <c r="O362" s="68"/>
    </row>
    <row r="363" spans="1:15" s="8" customFormat="1" x14ac:dyDescent="0.35">
      <c r="A363" s="68"/>
      <c r="B363" s="68"/>
      <c r="C363" s="68"/>
      <c r="D363" s="68"/>
      <c r="E363" s="68"/>
      <c r="F363" s="68"/>
      <c r="G363" s="68"/>
      <c r="H363" s="68"/>
      <c r="I363" s="68"/>
      <c r="J363" s="68"/>
      <c r="K363" s="68"/>
      <c r="L363" s="68"/>
      <c r="M363" s="68"/>
      <c r="N363" s="68"/>
      <c r="O363" s="68"/>
    </row>
    <row r="364" spans="1:15" s="1" customFormat="1" x14ac:dyDescent="0.35">
      <c r="A364" s="68"/>
      <c r="B364" s="68"/>
      <c r="C364" s="68"/>
      <c r="D364" s="68"/>
      <c r="E364" s="68"/>
      <c r="F364" s="68"/>
      <c r="G364" s="68"/>
      <c r="H364" s="68"/>
      <c r="I364" s="68"/>
      <c r="J364" s="68"/>
      <c r="K364" s="68"/>
      <c r="L364" s="68"/>
      <c r="M364" s="68"/>
      <c r="N364" s="68"/>
      <c r="O364" s="68"/>
    </row>
    <row r="365" spans="1:15" s="1" customFormat="1" x14ac:dyDescent="0.35">
      <c r="A365" s="68"/>
      <c r="B365" s="68"/>
      <c r="C365" s="68"/>
      <c r="D365" s="68"/>
      <c r="E365" s="68"/>
      <c r="F365" s="68"/>
      <c r="G365" s="68"/>
      <c r="H365" s="68"/>
      <c r="I365" s="68"/>
      <c r="J365" s="68"/>
      <c r="K365" s="68"/>
      <c r="L365" s="68"/>
      <c r="M365" s="68"/>
      <c r="N365" s="68"/>
      <c r="O365" s="68"/>
    </row>
    <row r="366" spans="1:15" s="1" customFormat="1" x14ac:dyDescent="0.35">
      <c r="A366" s="68"/>
      <c r="B366" s="68"/>
      <c r="C366" s="68"/>
      <c r="D366" s="68"/>
      <c r="E366" s="68"/>
      <c r="F366" s="68"/>
      <c r="G366" s="68"/>
      <c r="H366" s="68"/>
      <c r="I366" s="68"/>
      <c r="J366" s="68"/>
      <c r="K366" s="68"/>
      <c r="L366" s="68"/>
      <c r="M366" s="68"/>
      <c r="N366" s="68"/>
      <c r="O366" s="68"/>
    </row>
    <row r="367" spans="1:15" s="1" customFormat="1" x14ac:dyDescent="0.35">
      <c r="A367" s="68"/>
      <c r="B367" s="68"/>
      <c r="C367" s="68"/>
      <c r="D367" s="68"/>
      <c r="E367" s="68"/>
      <c r="F367" s="68"/>
      <c r="G367" s="68"/>
      <c r="H367" s="68"/>
      <c r="I367" s="68"/>
      <c r="J367" s="68"/>
      <c r="K367" s="68"/>
      <c r="L367" s="68"/>
      <c r="M367" s="68"/>
      <c r="N367" s="68"/>
      <c r="O367" s="68"/>
    </row>
    <row r="368" spans="1:15" s="1" customFormat="1" x14ac:dyDescent="0.35">
      <c r="A368" s="68"/>
      <c r="B368" s="68"/>
      <c r="C368" s="68"/>
      <c r="D368" s="68"/>
      <c r="E368" s="68"/>
      <c r="F368" s="68"/>
      <c r="G368" s="68"/>
      <c r="H368" s="68"/>
      <c r="I368" s="68"/>
      <c r="J368" s="68"/>
      <c r="K368" s="68"/>
      <c r="L368" s="68"/>
      <c r="M368" s="68"/>
      <c r="N368" s="68"/>
      <c r="O368" s="68"/>
    </row>
    <row r="369" spans="1:15" s="1" customFormat="1" x14ac:dyDescent="0.35">
      <c r="A369" s="68"/>
      <c r="B369" s="68"/>
      <c r="C369" s="68"/>
      <c r="D369" s="68"/>
      <c r="E369" s="68"/>
      <c r="F369" s="68"/>
      <c r="G369" s="68"/>
      <c r="H369" s="68"/>
      <c r="I369" s="68"/>
      <c r="J369" s="68"/>
      <c r="K369" s="68"/>
      <c r="L369" s="68"/>
      <c r="M369" s="68"/>
      <c r="N369" s="68"/>
      <c r="O369" s="68"/>
    </row>
    <row r="370" spans="1:15" s="1" customFormat="1" x14ac:dyDescent="0.35">
      <c r="A370" s="68"/>
      <c r="B370" s="68"/>
      <c r="C370" s="68"/>
      <c r="D370" s="68"/>
      <c r="E370" s="68"/>
      <c r="F370" s="68"/>
      <c r="G370" s="68"/>
      <c r="H370" s="68"/>
      <c r="I370" s="68"/>
      <c r="J370" s="68"/>
      <c r="K370" s="68"/>
      <c r="L370" s="68"/>
      <c r="M370" s="68"/>
      <c r="N370" s="68"/>
      <c r="O370" s="68"/>
    </row>
    <row r="371" spans="1:15" s="1" customFormat="1" x14ac:dyDescent="0.35">
      <c r="A371" s="68"/>
      <c r="B371" s="68"/>
      <c r="C371" s="68"/>
      <c r="D371" s="68"/>
      <c r="E371" s="68"/>
      <c r="F371" s="68"/>
      <c r="G371" s="68"/>
      <c r="H371" s="68"/>
      <c r="I371" s="68"/>
      <c r="J371" s="68"/>
      <c r="K371" s="68"/>
      <c r="L371" s="68"/>
      <c r="M371" s="68"/>
      <c r="N371" s="68"/>
      <c r="O371" s="68"/>
    </row>
    <row r="372" spans="1:15" s="1" customFormat="1" x14ac:dyDescent="0.35">
      <c r="A372" s="68"/>
      <c r="B372" s="68"/>
      <c r="C372" s="68"/>
      <c r="D372" s="68"/>
      <c r="E372" s="68"/>
      <c r="F372" s="68"/>
      <c r="G372" s="68"/>
      <c r="H372" s="68"/>
      <c r="I372" s="68"/>
      <c r="J372" s="68"/>
      <c r="K372" s="68"/>
      <c r="L372" s="68"/>
      <c r="M372" s="68"/>
      <c r="N372" s="68"/>
      <c r="O372" s="68"/>
    </row>
    <row r="373" spans="1:15" s="1" customFormat="1" x14ac:dyDescent="0.35">
      <c r="A373" s="68"/>
      <c r="B373" s="68"/>
      <c r="C373" s="68"/>
      <c r="D373" s="68"/>
      <c r="E373" s="68"/>
      <c r="F373" s="68"/>
      <c r="G373" s="68"/>
      <c r="H373" s="68"/>
      <c r="I373" s="68"/>
      <c r="J373" s="68"/>
      <c r="K373" s="68"/>
      <c r="L373" s="68"/>
      <c r="M373" s="68"/>
      <c r="N373" s="68"/>
      <c r="O373" s="68"/>
    </row>
    <row r="374" spans="1:15" s="1" customFormat="1" x14ac:dyDescent="0.35">
      <c r="A374" s="68"/>
      <c r="B374" s="68"/>
      <c r="C374" s="68"/>
      <c r="D374" s="68"/>
      <c r="E374" s="68"/>
      <c r="F374" s="68"/>
      <c r="G374" s="68"/>
      <c r="H374" s="68"/>
      <c r="I374" s="68"/>
      <c r="J374" s="68"/>
      <c r="K374" s="68"/>
      <c r="L374" s="68"/>
      <c r="M374" s="68"/>
      <c r="N374" s="68"/>
      <c r="O374" s="68"/>
    </row>
    <row r="375" spans="1:15" s="1" customFormat="1" x14ac:dyDescent="0.35">
      <c r="A375" s="68"/>
      <c r="B375" s="68"/>
      <c r="C375" s="68"/>
      <c r="D375" s="68"/>
      <c r="E375" s="68"/>
      <c r="F375" s="68"/>
      <c r="G375" s="68"/>
      <c r="H375" s="68"/>
      <c r="I375" s="68"/>
      <c r="J375" s="68"/>
      <c r="K375" s="68"/>
      <c r="L375" s="68"/>
      <c r="M375" s="68"/>
      <c r="N375" s="68"/>
      <c r="O375" s="68"/>
    </row>
    <row r="376" spans="1:15" s="1" customFormat="1" x14ac:dyDescent="0.35">
      <c r="A376" s="68"/>
      <c r="B376" s="68"/>
      <c r="C376" s="68"/>
      <c r="D376" s="68"/>
      <c r="E376" s="68"/>
      <c r="F376" s="68"/>
      <c r="G376" s="68"/>
      <c r="H376" s="68"/>
      <c r="I376" s="68"/>
      <c r="J376" s="68"/>
      <c r="K376" s="68"/>
      <c r="L376" s="68"/>
      <c r="M376" s="68"/>
      <c r="N376" s="68"/>
      <c r="O376" s="68"/>
    </row>
    <row r="377" spans="1:15" s="1" customFormat="1" x14ac:dyDescent="0.35">
      <c r="A377" s="68"/>
      <c r="B377" s="68"/>
      <c r="C377" s="68"/>
      <c r="D377" s="68"/>
      <c r="E377" s="68"/>
      <c r="F377" s="68"/>
      <c r="G377" s="68"/>
      <c r="H377" s="68"/>
      <c r="I377" s="68"/>
      <c r="J377" s="68"/>
      <c r="K377" s="68"/>
      <c r="L377" s="68"/>
      <c r="M377" s="68"/>
      <c r="N377" s="68"/>
      <c r="O377" s="68"/>
    </row>
    <row r="378" spans="1:15" s="1" customFormat="1" x14ac:dyDescent="0.35">
      <c r="A378" s="68"/>
      <c r="B378" s="68"/>
      <c r="C378" s="68"/>
      <c r="D378" s="68"/>
      <c r="E378" s="68"/>
      <c r="F378" s="68"/>
      <c r="G378" s="68"/>
      <c r="H378" s="68"/>
      <c r="I378" s="68"/>
      <c r="J378" s="68"/>
      <c r="K378" s="68"/>
      <c r="L378" s="68"/>
      <c r="M378" s="68"/>
      <c r="N378" s="68"/>
      <c r="O378" s="68"/>
    </row>
    <row r="379" spans="1:15" s="1" customFormat="1" x14ac:dyDescent="0.35">
      <c r="A379" s="68"/>
      <c r="B379" s="68"/>
      <c r="C379" s="68"/>
      <c r="D379" s="68"/>
      <c r="E379" s="68"/>
      <c r="F379" s="68"/>
      <c r="G379" s="68"/>
      <c r="H379" s="68"/>
      <c r="I379" s="68"/>
      <c r="J379" s="68"/>
      <c r="K379" s="68"/>
      <c r="L379" s="68"/>
      <c r="M379" s="68"/>
      <c r="N379" s="68"/>
      <c r="O379" s="68"/>
    </row>
    <row r="380" spans="1:15" s="1" customFormat="1" x14ac:dyDescent="0.35">
      <c r="A380" s="68"/>
      <c r="B380" s="68"/>
      <c r="C380" s="68"/>
      <c r="D380" s="68"/>
      <c r="E380" s="68"/>
      <c r="F380" s="68"/>
      <c r="G380" s="68"/>
      <c r="H380" s="68"/>
      <c r="I380" s="68"/>
      <c r="J380" s="68"/>
      <c r="K380" s="68"/>
      <c r="L380" s="68"/>
      <c r="M380" s="68"/>
      <c r="N380" s="68"/>
      <c r="O380" s="68"/>
    </row>
    <row r="381" spans="1:15" s="1" customFormat="1" x14ac:dyDescent="0.35">
      <c r="A381" s="68"/>
      <c r="B381" s="68"/>
      <c r="C381" s="68"/>
      <c r="D381" s="68"/>
      <c r="E381" s="68"/>
      <c r="F381" s="68"/>
      <c r="G381" s="68"/>
      <c r="H381" s="68"/>
      <c r="I381" s="68"/>
      <c r="J381" s="68"/>
      <c r="K381" s="68"/>
      <c r="L381" s="68"/>
      <c r="M381" s="68"/>
      <c r="N381" s="68"/>
      <c r="O381" s="68"/>
    </row>
    <row r="382" spans="1:15" s="1" customFormat="1" x14ac:dyDescent="0.35">
      <c r="A382" s="68"/>
      <c r="B382" s="68"/>
      <c r="C382" s="68"/>
      <c r="D382" s="68"/>
      <c r="E382" s="68"/>
      <c r="F382" s="68"/>
      <c r="G382" s="68"/>
      <c r="H382" s="68"/>
      <c r="I382" s="68"/>
      <c r="J382" s="68"/>
      <c r="K382" s="68"/>
      <c r="L382" s="68"/>
      <c r="M382" s="68"/>
      <c r="N382" s="68"/>
      <c r="O382" s="68"/>
    </row>
    <row r="383" spans="1:15" s="1" customFormat="1" x14ac:dyDescent="0.35">
      <c r="A383" s="68"/>
      <c r="B383" s="68"/>
      <c r="C383" s="68"/>
      <c r="D383" s="68"/>
      <c r="E383" s="68"/>
      <c r="F383" s="68"/>
      <c r="G383" s="68"/>
      <c r="H383" s="68"/>
      <c r="I383" s="68"/>
      <c r="J383" s="68"/>
      <c r="K383" s="68"/>
      <c r="L383" s="68"/>
      <c r="M383" s="68"/>
      <c r="N383" s="68"/>
      <c r="O383" s="68"/>
    </row>
    <row r="384" spans="1:15" s="1" customFormat="1" x14ac:dyDescent="0.35">
      <c r="A384" s="68"/>
      <c r="B384" s="68"/>
      <c r="C384" s="68"/>
      <c r="D384" s="68"/>
      <c r="E384" s="68"/>
      <c r="F384" s="68"/>
      <c r="G384" s="68"/>
      <c r="H384" s="68"/>
      <c r="I384" s="68"/>
      <c r="J384" s="68"/>
      <c r="K384" s="68"/>
      <c r="L384" s="68"/>
      <c r="M384" s="68"/>
      <c r="N384" s="68"/>
      <c r="O384" s="68"/>
    </row>
    <row r="385" spans="1:15" s="1" customFormat="1" x14ac:dyDescent="0.35">
      <c r="A385" s="68"/>
      <c r="B385" s="68"/>
      <c r="C385" s="68"/>
      <c r="D385" s="68"/>
      <c r="E385" s="68"/>
      <c r="F385" s="68"/>
      <c r="G385" s="68"/>
      <c r="H385" s="68"/>
      <c r="I385" s="68"/>
      <c r="J385" s="68"/>
      <c r="K385" s="68"/>
      <c r="L385" s="68"/>
      <c r="M385" s="68"/>
      <c r="N385" s="68"/>
      <c r="O385" s="68"/>
    </row>
    <row r="386" spans="1:15" s="1" customFormat="1" x14ac:dyDescent="0.35">
      <c r="A386" s="68"/>
      <c r="B386" s="68"/>
      <c r="C386" s="68"/>
      <c r="D386" s="68"/>
      <c r="E386" s="68"/>
      <c r="F386" s="68"/>
      <c r="G386" s="68"/>
      <c r="H386" s="68"/>
      <c r="I386" s="68"/>
      <c r="J386" s="68"/>
      <c r="K386" s="68"/>
      <c r="L386" s="68"/>
      <c r="M386" s="68"/>
      <c r="N386" s="68"/>
      <c r="O386" s="68"/>
    </row>
    <row r="387" spans="1:15" s="1" customFormat="1" x14ac:dyDescent="0.35">
      <c r="A387" s="68"/>
      <c r="B387" s="68"/>
      <c r="C387" s="68"/>
      <c r="D387" s="68"/>
      <c r="E387" s="68"/>
      <c r="F387" s="68"/>
      <c r="G387" s="68"/>
      <c r="H387" s="68"/>
      <c r="I387" s="68"/>
      <c r="J387" s="68"/>
      <c r="K387" s="68"/>
      <c r="L387" s="68"/>
      <c r="M387" s="68"/>
      <c r="N387" s="68"/>
      <c r="O387" s="68"/>
    </row>
    <row r="388" spans="1:15" s="1" customFormat="1" x14ac:dyDescent="0.35">
      <c r="A388" s="68"/>
      <c r="B388" s="68"/>
      <c r="C388" s="68"/>
      <c r="D388" s="68"/>
      <c r="E388" s="68"/>
      <c r="F388" s="68"/>
      <c r="G388" s="68"/>
      <c r="H388" s="68"/>
      <c r="I388" s="68"/>
      <c r="J388" s="68"/>
      <c r="K388" s="68"/>
      <c r="L388" s="68"/>
      <c r="M388" s="68"/>
      <c r="N388" s="68"/>
      <c r="O388" s="68"/>
    </row>
    <row r="389" spans="1:15" s="1" customFormat="1" x14ac:dyDescent="0.35">
      <c r="A389" s="68"/>
      <c r="B389" s="68"/>
      <c r="C389" s="68"/>
      <c r="D389" s="68"/>
      <c r="E389" s="68"/>
      <c r="F389" s="68"/>
      <c r="G389" s="68"/>
      <c r="H389" s="68"/>
      <c r="I389" s="68"/>
      <c r="J389" s="68"/>
      <c r="K389" s="68"/>
      <c r="L389" s="68"/>
      <c r="M389" s="68"/>
      <c r="N389" s="68"/>
      <c r="O389" s="68"/>
    </row>
    <row r="390" spans="1:15" s="1" customFormat="1" x14ac:dyDescent="0.35">
      <c r="A390" s="68"/>
      <c r="B390" s="68"/>
      <c r="C390" s="68"/>
      <c r="D390" s="68"/>
      <c r="E390" s="68"/>
      <c r="F390" s="68"/>
      <c r="G390" s="68"/>
      <c r="H390" s="68"/>
      <c r="I390" s="68"/>
      <c r="J390" s="68"/>
      <c r="K390" s="68"/>
      <c r="L390" s="68"/>
      <c r="M390" s="68"/>
      <c r="N390" s="68"/>
      <c r="O390" s="68"/>
    </row>
    <row r="391" spans="1:15" s="1" customFormat="1" x14ac:dyDescent="0.35">
      <c r="A391" s="68"/>
      <c r="B391" s="68"/>
      <c r="C391" s="68"/>
      <c r="D391" s="68"/>
      <c r="E391" s="68"/>
      <c r="F391" s="68"/>
      <c r="G391" s="68"/>
      <c r="H391" s="68"/>
      <c r="I391" s="68"/>
      <c r="J391" s="68"/>
      <c r="K391" s="68"/>
      <c r="L391" s="68"/>
      <c r="M391" s="68"/>
      <c r="N391" s="68"/>
      <c r="O391" s="68"/>
    </row>
    <row r="392" spans="1:15" s="1" customFormat="1" x14ac:dyDescent="0.35">
      <c r="A392" s="68"/>
      <c r="B392" s="68"/>
      <c r="C392" s="68"/>
      <c r="D392" s="68"/>
      <c r="E392" s="68"/>
      <c r="F392" s="68"/>
      <c r="G392" s="68"/>
      <c r="H392" s="68"/>
      <c r="I392" s="68"/>
      <c r="J392" s="68"/>
      <c r="K392" s="68"/>
      <c r="L392" s="68"/>
      <c r="M392" s="68"/>
      <c r="N392" s="68"/>
      <c r="O392" s="68"/>
    </row>
    <row r="393" spans="1:15" x14ac:dyDescent="0.35">
      <c r="A393" s="71"/>
      <c r="B393" s="71"/>
      <c r="C393" s="71"/>
      <c r="D393" s="71"/>
      <c r="E393" s="68"/>
      <c r="F393" s="68"/>
      <c r="G393" s="71"/>
      <c r="H393" s="71"/>
      <c r="I393" s="71"/>
      <c r="J393" s="71"/>
      <c r="K393" s="71"/>
      <c r="L393" s="71"/>
      <c r="M393" s="71"/>
      <c r="N393" s="71"/>
      <c r="O393" s="71"/>
    </row>
    <row r="394" spans="1:15" x14ac:dyDescent="0.35">
      <c r="A394" s="71"/>
      <c r="B394" s="71"/>
      <c r="C394" s="71"/>
      <c r="D394" s="71"/>
      <c r="E394" s="68"/>
      <c r="F394" s="68"/>
      <c r="G394" s="71"/>
      <c r="H394" s="71"/>
      <c r="I394" s="71"/>
      <c r="J394" s="71"/>
      <c r="K394" s="71"/>
      <c r="L394" s="71"/>
      <c r="M394" s="71"/>
      <c r="N394" s="71"/>
      <c r="O394" s="71"/>
    </row>
    <row r="395" spans="1:15" x14ac:dyDescent="0.35">
      <c r="A395" s="71"/>
      <c r="B395" s="71"/>
      <c r="C395" s="71"/>
      <c r="D395" s="71"/>
      <c r="E395" s="68"/>
      <c r="F395" s="68"/>
      <c r="G395" s="71"/>
      <c r="H395" s="71"/>
      <c r="I395" s="71"/>
      <c r="J395" s="71"/>
      <c r="K395" s="71"/>
      <c r="L395" s="71"/>
      <c r="M395" s="71"/>
      <c r="N395" s="71"/>
      <c r="O395" s="71"/>
    </row>
    <row r="396" spans="1:15" x14ac:dyDescent="0.35">
      <c r="A396" s="71"/>
      <c r="B396" s="71"/>
      <c r="C396" s="71"/>
      <c r="D396" s="71"/>
      <c r="E396" s="68"/>
      <c r="F396" s="68"/>
      <c r="G396" s="71"/>
      <c r="H396" s="71"/>
      <c r="I396" s="71"/>
      <c r="J396" s="71"/>
      <c r="K396" s="71"/>
      <c r="L396" s="71"/>
      <c r="M396" s="71"/>
      <c r="N396" s="71"/>
      <c r="O396" s="71"/>
    </row>
    <row r="397" spans="1:15" x14ac:dyDescent="0.35">
      <c r="A397" s="71"/>
      <c r="B397" s="71"/>
      <c r="C397" s="71"/>
      <c r="D397" s="71"/>
      <c r="E397" s="68"/>
      <c r="F397" s="68"/>
      <c r="G397" s="71"/>
      <c r="H397" s="71"/>
      <c r="I397" s="71"/>
      <c r="J397" s="71"/>
      <c r="K397" s="71"/>
      <c r="L397" s="71"/>
      <c r="M397" s="71"/>
      <c r="N397" s="71"/>
      <c r="O397" s="71"/>
    </row>
    <row r="398" spans="1:15" x14ac:dyDescent="0.35">
      <c r="A398" s="71"/>
      <c r="B398" s="71"/>
      <c r="C398" s="71"/>
      <c r="D398" s="71"/>
      <c r="E398" s="68"/>
      <c r="F398" s="68"/>
      <c r="G398" s="71"/>
      <c r="H398" s="71"/>
      <c r="I398" s="71"/>
      <c r="J398" s="71"/>
      <c r="K398" s="71"/>
      <c r="L398" s="71"/>
      <c r="M398" s="71"/>
      <c r="N398" s="71"/>
      <c r="O398" s="71"/>
    </row>
    <row r="399" spans="1:15" x14ac:dyDescent="0.35">
      <c r="A399" s="71"/>
      <c r="B399" s="71"/>
      <c r="C399" s="71"/>
      <c r="D399" s="71"/>
      <c r="E399" s="68"/>
      <c r="F399" s="68"/>
      <c r="G399" s="71"/>
      <c r="H399" s="71"/>
      <c r="I399" s="71"/>
      <c r="J399" s="71"/>
      <c r="K399" s="71"/>
      <c r="L399" s="71"/>
      <c r="M399" s="71"/>
      <c r="N399" s="71"/>
      <c r="O399" s="71"/>
    </row>
    <row r="400" spans="1:15" x14ac:dyDescent="0.35">
      <c r="A400" s="71"/>
      <c r="B400" s="71"/>
      <c r="C400" s="71"/>
      <c r="D400" s="71"/>
      <c r="E400" s="68"/>
      <c r="F400" s="68"/>
      <c r="G400" s="71"/>
      <c r="H400" s="71"/>
      <c r="I400" s="71"/>
      <c r="J400" s="71"/>
      <c r="K400" s="71"/>
      <c r="L400" s="71"/>
      <c r="M400" s="71"/>
      <c r="N400" s="71"/>
      <c r="O400" s="71"/>
    </row>
    <row r="401" spans="1:15" x14ac:dyDescent="0.35">
      <c r="A401" s="71"/>
      <c r="B401" s="71"/>
      <c r="C401" s="71"/>
      <c r="D401" s="71"/>
      <c r="E401" s="68"/>
      <c r="F401" s="68"/>
      <c r="G401" s="71"/>
      <c r="H401" s="71"/>
      <c r="I401" s="71"/>
      <c r="J401" s="71"/>
      <c r="K401" s="71"/>
      <c r="L401" s="71"/>
      <c r="M401" s="71"/>
      <c r="N401" s="71"/>
      <c r="O401" s="71"/>
    </row>
    <row r="402" spans="1:15" x14ac:dyDescent="0.35">
      <c r="A402" s="71"/>
      <c r="B402" s="71"/>
      <c r="C402" s="71"/>
      <c r="D402" s="71"/>
      <c r="E402" s="68"/>
      <c r="F402" s="68"/>
      <c r="G402" s="71"/>
      <c r="H402" s="71"/>
      <c r="I402" s="71"/>
      <c r="J402" s="71"/>
      <c r="K402" s="71"/>
      <c r="L402" s="71"/>
      <c r="M402" s="71"/>
      <c r="N402" s="71"/>
      <c r="O402" s="71"/>
    </row>
    <row r="403" spans="1:15" x14ac:dyDescent="0.35">
      <c r="A403" s="71"/>
      <c r="B403" s="71"/>
      <c r="C403" s="71"/>
      <c r="D403" s="71"/>
      <c r="E403" s="68"/>
      <c r="F403" s="68"/>
      <c r="G403" s="71"/>
      <c r="H403" s="71"/>
      <c r="I403" s="71"/>
      <c r="J403" s="71"/>
      <c r="K403" s="71"/>
      <c r="L403" s="71"/>
      <c r="M403" s="71"/>
      <c r="N403" s="71"/>
      <c r="O403" s="71"/>
    </row>
    <row r="404" spans="1:15" x14ac:dyDescent="0.35">
      <c r="A404" s="71"/>
      <c r="B404" s="71"/>
      <c r="C404" s="71"/>
      <c r="D404" s="71"/>
      <c r="E404" s="68"/>
      <c r="F404" s="68"/>
      <c r="G404" s="71"/>
      <c r="H404" s="71"/>
      <c r="I404" s="71"/>
      <c r="J404" s="71"/>
      <c r="K404" s="71"/>
      <c r="L404" s="71"/>
      <c r="M404" s="71"/>
      <c r="N404" s="71"/>
      <c r="O404" s="71"/>
    </row>
    <row r="405" spans="1:15" x14ac:dyDescent="0.35">
      <c r="A405" s="71"/>
      <c r="B405" s="71"/>
      <c r="C405" s="71"/>
      <c r="D405" s="71"/>
      <c r="E405" s="68"/>
      <c r="F405" s="68"/>
      <c r="G405" s="71"/>
      <c r="H405" s="71"/>
      <c r="I405" s="71"/>
      <c r="J405" s="71"/>
      <c r="K405" s="71"/>
      <c r="L405" s="71"/>
      <c r="M405" s="71"/>
      <c r="N405" s="71"/>
      <c r="O405" s="71"/>
    </row>
    <row r="406" spans="1:15" x14ac:dyDescent="0.35">
      <c r="A406" s="71"/>
      <c r="B406" s="71"/>
      <c r="C406" s="71"/>
      <c r="D406" s="71"/>
      <c r="E406" s="68"/>
      <c r="F406" s="68"/>
      <c r="G406" s="71"/>
      <c r="H406" s="71"/>
      <c r="I406" s="71"/>
      <c r="J406" s="71"/>
      <c r="K406" s="71"/>
      <c r="L406" s="71"/>
      <c r="M406" s="71"/>
      <c r="N406" s="71"/>
      <c r="O406" s="71"/>
    </row>
    <row r="407" spans="1:15" x14ac:dyDescent="0.35">
      <c r="A407" s="71"/>
      <c r="B407" s="71"/>
      <c r="C407" s="71"/>
      <c r="D407" s="71"/>
      <c r="E407" s="68"/>
      <c r="F407" s="68"/>
      <c r="G407" s="71"/>
      <c r="H407" s="71"/>
      <c r="I407" s="71"/>
      <c r="J407" s="71"/>
      <c r="K407" s="71"/>
      <c r="L407" s="71"/>
      <c r="M407" s="71"/>
      <c r="N407" s="71"/>
      <c r="O407" s="71"/>
    </row>
    <row r="408" spans="1:15" x14ac:dyDescent="0.35">
      <c r="A408" s="71"/>
      <c r="B408" s="71"/>
      <c r="C408" s="71"/>
      <c r="D408" s="71"/>
      <c r="E408" s="68"/>
      <c r="F408" s="68"/>
      <c r="G408" s="71"/>
      <c r="H408" s="71"/>
      <c r="I408" s="71"/>
      <c r="J408" s="71"/>
      <c r="K408" s="71"/>
      <c r="L408" s="71"/>
      <c r="M408" s="71"/>
      <c r="N408" s="71"/>
      <c r="O408" s="71"/>
    </row>
    <row r="409" spans="1:15" x14ac:dyDescent="0.35">
      <c r="A409" s="71"/>
      <c r="B409" s="71"/>
      <c r="C409" s="71"/>
      <c r="D409" s="71"/>
      <c r="E409" s="68"/>
      <c r="F409" s="68"/>
      <c r="G409" s="71"/>
      <c r="H409" s="71"/>
      <c r="I409" s="71"/>
      <c r="J409" s="71"/>
      <c r="K409" s="71"/>
      <c r="L409" s="71"/>
      <c r="M409" s="71"/>
      <c r="N409" s="71"/>
      <c r="O409" s="71"/>
    </row>
    <row r="410" spans="1:15" x14ac:dyDescent="0.35">
      <c r="A410" s="71"/>
      <c r="B410" s="71"/>
      <c r="C410" s="71"/>
      <c r="D410" s="71"/>
      <c r="E410" s="68"/>
      <c r="F410" s="68"/>
      <c r="G410" s="71"/>
      <c r="H410" s="71"/>
      <c r="I410" s="71"/>
      <c r="J410" s="71"/>
      <c r="K410" s="71"/>
      <c r="L410" s="71"/>
      <c r="M410" s="71"/>
      <c r="N410" s="71"/>
      <c r="O410" s="71"/>
    </row>
    <row r="411" spans="1:15" x14ac:dyDescent="0.35">
      <c r="A411" s="71"/>
      <c r="B411" s="71"/>
      <c r="C411" s="71"/>
      <c r="D411" s="71"/>
      <c r="E411" s="68"/>
      <c r="F411" s="68"/>
      <c r="G411" s="71"/>
      <c r="H411" s="71"/>
      <c r="I411" s="71"/>
      <c r="J411" s="71"/>
      <c r="K411" s="71"/>
      <c r="L411" s="71"/>
      <c r="M411" s="71"/>
      <c r="N411" s="71"/>
      <c r="O411" s="71"/>
    </row>
    <row r="412" spans="1:15" x14ac:dyDescent="0.35">
      <c r="A412" s="71"/>
      <c r="B412" s="71"/>
      <c r="C412" s="71"/>
      <c r="D412" s="71"/>
      <c r="E412" s="68"/>
      <c r="F412" s="68"/>
      <c r="G412" s="71"/>
      <c r="H412" s="71"/>
      <c r="I412" s="71"/>
      <c r="J412" s="71"/>
      <c r="K412" s="71"/>
      <c r="L412" s="71"/>
      <c r="M412" s="71"/>
      <c r="N412" s="71"/>
      <c r="O412" s="71"/>
    </row>
    <row r="413" spans="1:15" x14ac:dyDescent="0.35">
      <c r="A413" s="71"/>
      <c r="B413" s="71"/>
      <c r="C413" s="71"/>
      <c r="D413" s="71"/>
      <c r="E413" s="68"/>
      <c r="F413" s="68"/>
      <c r="G413" s="71"/>
      <c r="H413" s="71"/>
      <c r="I413" s="71"/>
      <c r="J413" s="71"/>
      <c r="K413" s="71"/>
      <c r="L413" s="71"/>
      <c r="M413" s="71"/>
      <c r="N413" s="71"/>
      <c r="O413" s="71"/>
    </row>
    <row r="414" spans="1:15" x14ac:dyDescent="0.35">
      <c r="A414" s="71"/>
      <c r="B414" s="71"/>
      <c r="C414" s="71"/>
      <c r="D414" s="71"/>
      <c r="E414" s="68"/>
      <c r="F414" s="68"/>
      <c r="G414" s="71"/>
      <c r="H414" s="71"/>
      <c r="I414" s="71"/>
      <c r="J414" s="71"/>
      <c r="K414" s="71"/>
      <c r="L414" s="71"/>
      <c r="M414" s="71"/>
      <c r="N414" s="71"/>
      <c r="O414" s="71"/>
    </row>
    <row r="415" spans="1:15" x14ac:dyDescent="0.35">
      <c r="A415" s="71"/>
      <c r="B415" s="71"/>
      <c r="C415" s="71"/>
      <c r="D415" s="71"/>
      <c r="E415" s="68"/>
      <c r="F415" s="68"/>
      <c r="G415" s="71"/>
      <c r="H415" s="71"/>
      <c r="I415" s="71"/>
      <c r="J415" s="71"/>
      <c r="K415" s="71"/>
      <c r="L415" s="71"/>
      <c r="M415" s="71"/>
      <c r="N415" s="71"/>
      <c r="O415" s="71"/>
    </row>
    <row r="416" spans="1:15" x14ac:dyDescent="0.35">
      <c r="A416" s="71"/>
      <c r="B416" s="71"/>
      <c r="C416" s="71"/>
      <c r="D416" s="71"/>
      <c r="E416" s="68"/>
      <c r="F416" s="68"/>
      <c r="G416" s="71"/>
      <c r="H416" s="71"/>
      <c r="I416" s="71"/>
      <c r="J416" s="71"/>
      <c r="K416" s="71"/>
      <c r="L416" s="71"/>
      <c r="M416" s="71"/>
      <c r="N416" s="71"/>
      <c r="O416" s="71"/>
    </row>
    <row r="417" spans="1:15" x14ac:dyDescent="0.35">
      <c r="A417" s="71"/>
      <c r="B417" s="71"/>
      <c r="C417" s="71"/>
      <c r="D417" s="71"/>
      <c r="E417" s="68"/>
      <c r="F417" s="68"/>
      <c r="G417" s="71"/>
      <c r="H417" s="71"/>
      <c r="I417" s="71"/>
      <c r="J417" s="71"/>
      <c r="K417" s="71"/>
      <c r="L417" s="71"/>
      <c r="M417" s="71"/>
      <c r="N417" s="71"/>
      <c r="O417" s="71"/>
    </row>
    <row r="418" spans="1:15" x14ac:dyDescent="0.35">
      <c r="A418" s="71"/>
      <c r="B418" s="71"/>
      <c r="C418" s="71"/>
      <c r="D418" s="71"/>
      <c r="E418" s="68"/>
      <c r="F418" s="68"/>
      <c r="G418" s="71"/>
      <c r="H418" s="71"/>
      <c r="I418" s="71"/>
      <c r="J418" s="71"/>
      <c r="K418" s="71"/>
      <c r="L418" s="71"/>
      <c r="M418" s="71"/>
      <c r="N418" s="71"/>
      <c r="O418" s="71"/>
    </row>
    <row r="419" spans="1:15" x14ac:dyDescent="0.35">
      <c r="A419" s="71"/>
      <c r="B419" s="71"/>
      <c r="C419" s="71"/>
      <c r="D419" s="71"/>
      <c r="E419" s="68"/>
      <c r="F419" s="68"/>
      <c r="G419" s="71"/>
      <c r="H419" s="71"/>
      <c r="I419" s="71"/>
      <c r="J419" s="71"/>
      <c r="K419" s="71"/>
      <c r="L419" s="71"/>
      <c r="M419" s="71"/>
      <c r="N419" s="71"/>
      <c r="O419" s="71"/>
    </row>
    <row r="420" spans="1:15" x14ac:dyDescent="0.35">
      <c r="A420" s="71"/>
      <c r="B420" s="71"/>
      <c r="C420" s="71"/>
      <c r="D420" s="71"/>
      <c r="E420" s="68"/>
      <c r="F420" s="68"/>
      <c r="G420" s="71"/>
      <c r="H420" s="71"/>
      <c r="I420" s="71"/>
      <c r="J420" s="71"/>
      <c r="K420" s="71"/>
      <c r="L420" s="71"/>
      <c r="M420" s="71"/>
      <c r="N420" s="71"/>
      <c r="O420" s="71"/>
    </row>
    <row r="421" spans="1:15" x14ac:dyDescent="0.35">
      <c r="A421" s="71"/>
      <c r="B421" s="71"/>
      <c r="C421" s="71"/>
      <c r="D421" s="71"/>
      <c r="E421" s="68"/>
      <c r="F421" s="68"/>
      <c r="G421" s="71"/>
      <c r="H421" s="71"/>
      <c r="I421" s="71"/>
      <c r="J421" s="71"/>
      <c r="K421" s="71"/>
      <c r="L421" s="71"/>
      <c r="M421" s="71"/>
      <c r="N421" s="71"/>
      <c r="O421" s="71"/>
    </row>
    <row r="422" spans="1:15" x14ac:dyDescent="0.35">
      <c r="A422" s="71"/>
      <c r="B422" s="71"/>
      <c r="C422" s="71"/>
      <c r="D422" s="71"/>
      <c r="E422" s="68"/>
      <c r="F422" s="68"/>
      <c r="G422" s="71"/>
      <c r="H422" s="71"/>
      <c r="I422" s="71"/>
      <c r="J422" s="71"/>
      <c r="K422" s="71"/>
      <c r="L422" s="71"/>
      <c r="M422" s="71"/>
      <c r="N422" s="71"/>
      <c r="O422" s="71"/>
    </row>
    <row r="423" spans="1:15" x14ac:dyDescent="0.35">
      <c r="A423" s="71"/>
      <c r="B423" s="71"/>
      <c r="C423" s="71"/>
      <c r="D423" s="71"/>
      <c r="E423" s="68"/>
      <c r="F423" s="68"/>
      <c r="G423" s="71"/>
      <c r="H423" s="71"/>
      <c r="I423" s="71"/>
      <c r="J423" s="71"/>
      <c r="K423" s="71"/>
      <c r="L423" s="71"/>
      <c r="M423" s="71"/>
      <c r="N423" s="71"/>
      <c r="O423" s="71"/>
    </row>
    <row r="424" spans="1:15" x14ac:dyDescent="0.35">
      <c r="A424" s="71"/>
      <c r="B424" s="71"/>
      <c r="C424" s="71"/>
      <c r="D424" s="71"/>
      <c r="E424" s="68"/>
      <c r="F424" s="68"/>
      <c r="G424" s="71"/>
      <c r="H424" s="71"/>
      <c r="I424" s="71"/>
      <c r="J424" s="71"/>
      <c r="K424" s="71"/>
      <c r="L424" s="71"/>
      <c r="M424" s="71"/>
      <c r="N424" s="71"/>
      <c r="O424" s="71"/>
    </row>
    <row r="425" spans="1:15" x14ac:dyDescent="0.35">
      <c r="A425" s="71"/>
      <c r="B425" s="71"/>
      <c r="C425" s="71"/>
      <c r="D425" s="71"/>
      <c r="E425" s="68"/>
      <c r="F425" s="68"/>
      <c r="G425" s="71"/>
      <c r="H425" s="71"/>
      <c r="I425" s="71"/>
      <c r="J425" s="71"/>
      <c r="K425" s="71"/>
      <c r="L425" s="71"/>
      <c r="M425" s="71"/>
      <c r="N425" s="71"/>
      <c r="O425" s="71"/>
    </row>
    <row r="426" spans="1:15" x14ac:dyDescent="0.35">
      <c r="A426" s="71"/>
      <c r="B426" s="71"/>
      <c r="C426" s="71"/>
      <c r="D426" s="71"/>
      <c r="E426" s="68"/>
      <c r="F426" s="68"/>
      <c r="G426" s="71"/>
      <c r="H426" s="71"/>
      <c r="I426" s="71"/>
      <c r="J426" s="71"/>
      <c r="K426" s="71"/>
      <c r="L426" s="71"/>
      <c r="M426" s="71"/>
      <c r="N426" s="71"/>
      <c r="O426" s="71"/>
    </row>
    <row r="427" spans="1:15" x14ac:dyDescent="0.35">
      <c r="A427" s="71"/>
      <c r="B427" s="71"/>
      <c r="C427" s="71"/>
      <c r="D427" s="71"/>
      <c r="E427" s="68"/>
      <c r="F427" s="68"/>
      <c r="G427" s="71"/>
      <c r="H427" s="71"/>
      <c r="I427" s="71"/>
      <c r="J427" s="71"/>
      <c r="K427" s="71"/>
      <c r="L427" s="71"/>
      <c r="M427" s="71"/>
      <c r="N427" s="71"/>
      <c r="O427" s="71"/>
    </row>
    <row r="428" spans="1:15" x14ac:dyDescent="0.35">
      <c r="A428" s="71"/>
      <c r="B428" s="71"/>
      <c r="C428" s="71"/>
      <c r="D428" s="71"/>
      <c r="E428" s="68"/>
      <c r="F428" s="68"/>
      <c r="G428" s="71"/>
      <c r="H428" s="71"/>
      <c r="I428" s="71"/>
      <c r="J428" s="71"/>
      <c r="K428" s="71"/>
      <c r="L428" s="71"/>
      <c r="M428" s="71"/>
      <c r="N428" s="71"/>
      <c r="O428" s="71"/>
    </row>
    <row r="429" spans="1:15" x14ac:dyDescent="0.35">
      <c r="A429" s="71"/>
      <c r="B429" s="71"/>
      <c r="C429" s="71"/>
      <c r="D429" s="71"/>
      <c r="E429" s="68"/>
      <c r="F429" s="68"/>
      <c r="G429" s="71"/>
      <c r="H429" s="71"/>
      <c r="I429" s="71"/>
      <c r="J429" s="71"/>
      <c r="K429" s="71"/>
      <c r="L429" s="71"/>
      <c r="M429" s="71"/>
      <c r="N429" s="71"/>
      <c r="O429" s="71"/>
    </row>
    <row r="430" spans="1:15" x14ac:dyDescent="0.35">
      <c r="A430" s="71"/>
      <c r="B430" s="71"/>
      <c r="C430" s="71"/>
      <c r="D430" s="71"/>
      <c r="E430" s="68"/>
      <c r="F430" s="68"/>
      <c r="G430" s="71"/>
      <c r="H430" s="71"/>
      <c r="I430" s="71"/>
      <c r="J430" s="71"/>
      <c r="K430" s="71"/>
      <c r="L430" s="71"/>
      <c r="M430" s="71"/>
      <c r="N430" s="71"/>
      <c r="O430" s="71"/>
    </row>
    <row r="431" spans="1:15" x14ac:dyDescent="0.35">
      <c r="A431" s="71"/>
      <c r="B431" s="71"/>
      <c r="C431" s="71"/>
      <c r="D431" s="71"/>
      <c r="E431" s="68"/>
      <c r="F431" s="68"/>
      <c r="G431" s="71"/>
      <c r="H431" s="71"/>
      <c r="I431" s="71"/>
      <c r="J431" s="71"/>
      <c r="K431" s="71"/>
      <c r="L431" s="71"/>
      <c r="M431" s="71"/>
      <c r="N431" s="71"/>
      <c r="O431" s="71"/>
    </row>
    <row r="432" spans="1:15" x14ac:dyDescent="0.35">
      <c r="A432" s="71"/>
      <c r="B432" s="71"/>
      <c r="C432" s="71"/>
      <c r="D432" s="71"/>
      <c r="E432" s="68"/>
      <c r="F432" s="68"/>
      <c r="G432" s="71"/>
      <c r="H432" s="71"/>
      <c r="I432" s="71"/>
      <c r="J432" s="71"/>
      <c r="K432" s="71"/>
      <c r="L432" s="71"/>
      <c r="M432" s="71"/>
      <c r="N432" s="71"/>
      <c r="O432" s="71"/>
    </row>
    <row r="433" spans="1:15" x14ac:dyDescent="0.35">
      <c r="A433" s="71"/>
      <c r="B433" s="71"/>
      <c r="C433" s="71"/>
      <c r="D433" s="71"/>
      <c r="E433" s="68"/>
      <c r="F433" s="68"/>
      <c r="G433" s="71"/>
      <c r="H433" s="71"/>
      <c r="I433" s="71"/>
      <c r="J433" s="71"/>
      <c r="K433" s="71"/>
      <c r="L433" s="71"/>
      <c r="M433" s="71"/>
      <c r="N433" s="71"/>
      <c r="O433" s="71"/>
    </row>
    <row r="434" spans="1:15" x14ac:dyDescent="0.35">
      <c r="A434" s="71"/>
      <c r="B434" s="71"/>
      <c r="C434" s="71"/>
      <c r="D434" s="71"/>
      <c r="E434" s="68"/>
      <c r="F434" s="68"/>
      <c r="G434" s="71"/>
      <c r="H434" s="71"/>
      <c r="I434" s="71"/>
      <c r="J434" s="71"/>
      <c r="K434" s="71"/>
      <c r="L434" s="71"/>
      <c r="M434" s="71"/>
      <c r="N434" s="71"/>
      <c r="O434" s="71"/>
    </row>
    <row r="435" spans="1:15" x14ac:dyDescent="0.35">
      <c r="A435" s="71"/>
      <c r="B435" s="71"/>
      <c r="C435" s="71"/>
      <c r="D435" s="71"/>
      <c r="E435" s="68"/>
      <c r="F435" s="68"/>
      <c r="G435" s="71"/>
      <c r="H435" s="71"/>
      <c r="I435" s="71"/>
      <c r="J435" s="71"/>
      <c r="K435" s="71"/>
      <c r="L435" s="71"/>
      <c r="M435" s="71"/>
      <c r="N435" s="71"/>
      <c r="O435" s="71"/>
    </row>
    <row r="436" spans="1:15" x14ac:dyDescent="0.35">
      <c r="A436" s="71"/>
      <c r="B436" s="71"/>
      <c r="C436" s="71"/>
      <c r="D436" s="71"/>
      <c r="E436" s="68"/>
      <c r="F436" s="68"/>
      <c r="G436" s="71"/>
      <c r="H436" s="71"/>
      <c r="I436" s="71"/>
      <c r="J436" s="71"/>
      <c r="K436" s="71"/>
      <c r="L436" s="71"/>
      <c r="M436" s="71"/>
      <c r="N436" s="71"/>
      <c r="O436" s="71"/>
    </row>
    <row r="437" spans="1:15" x14ac:dyDescent="0.35">
      <c r="A437" s="71"/>
      <c r="B437" s="71"/>
      <c r="C437" s="71"/>
      <c r="D437" s="71"/>
      <c r="E437" s="68"/>
      <c r="F437" s="68"/>
      <c r="G437" s="71"/>
      <c r="H437" s="71"/>
      <c r="I437" s="71"/>
      <c r="J437" s="71"/>
      <c r="K437" s="71"/>
      <c r="L437" s="71"/>
      <c r="M437" s="71"/>
      <c r="N437" s="71"/>
      <c r="O437" s="71"/>
    </row>
    <row r="438" spans="1:15" x14ac:dyDescent="0.35">
      <c r="A438" s="71"/>
      <c r="B438" s="71"/>
      <c r="C438" s="71"/>
      <c r="D438" s="71"/>
      <c r="E438" s="68"/>
      <c r="F438" s="68"/>
      <c r="G438" s="71"/>
      <c r="H438" s="71"/>
      <c r="I438" s="71"/>
      <c r="J438" s="71"/>
      <c r="K438" s="71"/>
      <c r="L438" s="71"/>
      <c r="M438" s="71"/>
      <c r="N438" s="71"/>
      <c r="O438" s="71"/>
    </row>
    <row r="439" spans="1:15" x14ac:dyDescent="0.35">
      <c r="A439" s="71"/>
      <c r="B439" s="71"/>
      <c r="C439" s="71"/>
      <c r="D439" s="71"/>
      <c r="E439" s="68"/>
      <c r="F439" s="68"/>
      <c r="G439" s="71"/>
      <c r="H439" s="71"/>
      <c r="I439" s="71"/>
      <c r="J439" s="71"/>
      <c r="K439" s="71"/>
      <c r="L439" s="71"/>
      <c r="M439" s="71"/>
      <c r="N439" s="71"/>
      <c r="O439" s="71"/>
    </row>
    <row r="440" spans="1:15" x14ac:dyDescent="0.35">
      <c r="A440" s="71"/>
      <c r="B440" s="71"/>
      <c r="C440" s="71"/>
      <c r="D440" s="71"/>
      <c r="E440" s="68"/>
      <c r="F440" s="68"/>
      <c r="G440" s="71"/>
      <c r="H440" s="71"/>
      <c r="I440" s="71"/>
      <c r="J440" s="71"/>
      <c r="K440" s="71"/>
      <c r="L440" s="71"/>
      <c r="M440" s="71"/>
      <c r="N440" s="71"/>
      <c r="O440" s="71"/>
    </row>
    <row r="441" spans="1:15" x14ac:dyDescent="0.35">
      <c r="A441" s="71"/>
      <c r="B441" s="71"/>
      <c r="C441" s="71"/>
      <c r="D441" s="71"/>
      <c r="E441" s="68"/>
      <c r="F441" s="68"/>
      <c r="G441" s="71"/>
      <c r="H441" s="71"/>
      <c r="I441" s="71"/>
      <c r="J441" s="71"/>
      <c r="K441" s="71"/>
      <c r="L441" s="71"/>
      <c r="M441" s="71"/>
      <c r="N441" s="71"/>
      <c r="O441" s="71"/>
    </row>
    <row r="442" spans="1:15" x14ac:dyDescent="0.35">
      <c r="A442" s="71"/>
      <c r="B442" s="71"/>
      <c r="C442" s="71"/>
      <c r="D442" s="71"/>
      <c r="E442" s="68"/>
      <c r="F442" s="68"/>
      <c r="G442" s="71"/>
      <c r="H442" s="71"/>
      <c r="I442" s="71"/>
      <c r="J442" s="71"/>
      <c r="K442" s="71"/>
      <c r="L442" s="71"/>
      <c r="M442" s="71"/>
      <c r="N442" s="71"/>
      <c r="O442" s="71"/>
    </row>
    <row r="443" spans="1:15" x14ac:dyDescent="0.35">
      <c r="A443" s="71"/>
      <c r="B443" s="71"/>
      <c r="C443" s="71"/>
      <c r="D443" s="71"/>
      <c r="E443" s="68"/>
      <c r="F443" s="68"/>
      <c r="G443" s="71"/>
      <c r="H443" s="71"/>
      <c r="I443" s="71"/>
      <c r="J443" s="71"/>
      <c r="K443" s="71"/>
      <c r="L443" s="71"/>
      <c r="M443" s="71"/>
      <c r="N443" s="71"/>
      <c r="O443" s="71"/>
    </row>
    <row r="444" spans="1:15" x14ac:dyDescent="0.35">
      <c r="A444" s="71"/>
      <c r="B444" s="71"/>
      <c r="C444" s="71"/>
      <c r="D444" s="71"/>
      <c r="E444" s="68"/>
      <c r="F444" s="68"/>
      <c r="G444" s="71"/>
      <c r="H444" s="71"/>
      <c r="I444" s="71"/>
      <c r="J444" s="71"/>
      <c r="K444" s="71"/>
      <c r="L444" s="71"/>
      <c r="M444" s="71"/>
      <c r="N444" s="71"/>
      <c r="O444" s="71"/>
    </row>
    <row r="445" spans="1:15" x14ac:dyDescent="0.35">
      <c r="A445" s="71"/>
      <c r="B445" s="71"/>
      <c r="C445" s="71"/>
      <c r="D445" s="71"/>
      <c r="E445" s="68"/>
      <c r="F445" s="68"/>
      <c r="G445" s="71"/>
      <c r="H445" s="71"/>
      <c r="I445" s="71"/>
      <c r="J445" s="71"/>
      <c r="K445" s="71"/>
      <c r="L445" s="71"/>
      <c r="M445" s="71"/>
      <c r="N445" s="71"/>
      <c r="O445" s="71"/>
    </row>
    <row r="446" spans="1:15" x14ac:dyDescent="0.35">
      <c r="A446" s="71"/>
      <c r="B446" s="71"/>
      <c r="C446" s="71"/>
      <c r="D446" s="71"/>
      <c r="E446" s="68"/>
      <c r="F446" s="68"/>
      <c r="G446" s="71"/>
      <c r="H446" s="71"/>
      <c r="I446" s="71"/>
      <c r="J446" s="71"/>
      <c r="K446" s="71"/>
      <c r="L446" s="71"/>
      <c r="M446" s="71"/>
      <c r="N446" s="71"/>
      <c r="O446" s="71"/>
    </row>
    <row r="447" spans="1:15" x14ac:dyDescent="0.35">
      <c r="A447" s="71"/>
      <c r="B447" s="71"/>
      <c r="C447" s="71"/>
      <c r="D447" s="71"/>
      <c r="E447" s="68"/>
      <c r="F447" s="68"/>
      <c r="G447" s="71"/>
      <c r="H447" s="71"/>
      <c r="I447" s="71"/>
      <c r="J447" s="71"/>
      <c r="K447" s="71"/>
      <c r="L447" s="71"/>
      <c r="M447" s="71"/>
      <c r="N447" s="71"/>
      <c r="O447" s="71"/>
    </row>
    <row r="448" spans="1:15" x14ac:dyDescent="0.35">
      <c r="A448" s="71"/>
      <c r="B448" s="71"/>
      <c r="C448" s="71"/>
      <c r="D448" s="71"/>
      <c r="E448" s="68"/>
      <c r="F448" s="68"/>
      <c r="G448" s="71"/>
      <c r="H448" s="71"/>
      <c r="I448" s="71"/>
      <c r="J448" s="71"/>
      <c r="K448" s="71"/>
      <c r="L448" s="71"/>
      <c r="M448" s="71"/>
      <c r="N448" s="71"/>
      <c r="O448" s="71"/>
    </row>
    <row r="449" spans="1:15" x14ac:dyDescent="0.35">
      <c r="A449" s="71"/>
      <c r="B449" s="71"/>
      <c r="C449" s="71"/>
      <c r="D449" s="71"/>
      <c r="E449" s="68"/>
      <c r="F449" s="68"/>
      <c r="G449" s="71"/>
      <c r="H449" s="71"/>
      <c r="I449" s="71"/>
      <c r="J449" s="71"/>
      <c r="K449" s="71"/>
      <c r="L449" s="71"/>
      <c r="M449" s="71"/>
      <c r="N449" s="71"/>
      <c r="O449" s="71"/>
    </row>
    <row r="450" spans="1:15" x14ac:dyDescent="0.35">
      <c r="A450" s="71"/>
      <c r="B450" s="71"/>
      <c r="C450" s="71"/>
      <c r="D450" s="71"/>
      <c r="E450" s="68"/>
      <c r="F450" s="68"/>
      <c r="G450" s="71"/>
      <c r="H450" s="71"/>
      <c r="I450" s="71"/>
      <c r="J450" s="71"/>
      <c r="K450" s="71"/>
      <c r="L450" s="71"/>
      <c r="M450" s="71"/>
      <c r="N450" s="71"/>
      <c r="O450" s="71"/>
    </row>
    <row r="451" spans="1:15" x14ac:dyDescent="0.35">
      <c r="A451" s="71"/>
      <c r="B451" s="71"/>
      <c r="C451" s="71"/>
      <c r="D451" s="71"/>
      <c r="E451" s="68"/>
      <c r="F451" s="68"/>
      <c r="G451" s="71"/>
      <c r="H451" s="71"/>
      <c r="I451" s="71"/>
      <c r="J451" s="71"/>
      <c r="K451" s="71"/>
      <c r="L451" s="71"/>
      <c r="M451" s="71"/>
      <c r="N451" s="71"/>
      <c r="O451" s="71"/>
    </row>
    <row r="452" spans="1:15" x14ac:dyDescent="0.35">
      <c r="A452" s="71"/>
      <c r="B452" s="71"/>
      <c r="C452" s="71"/>
      <c r="D452" s="71"/>
      <c r="E452" s="68"/>
      <c r="F452" s="68"/>
      <c r="G452" s="71"/>
      <c r="H452" s="71"/>
      <c r="I452" s="71"/>
      <c r="J452" s="71"/>
      <c r="K452" s="71"/>
      <c r="L452" s="71"/>
      <c r="M452" s="71"/>
      <c r="N452" s="71"/>
      <c r="O452" s="71"/>
    </row>
    <row r="453" spans="1:15" x14ac:dyDescent="0.35">
      <c r="A453" s="71"/>
      <c r="B453" s="71"/>
      <c r="C453" s="71"/>
      <c r="D453" s="71"/>
      <c r="E453" s="68"/>
      <c r="F453" s="68"/>
      <c r="G453" s="71"/>
      <c r="H453" s="71"/>
      <c r="I453" s="71"/>
      <c r="J453" s="71"/>
      <c r="K453" s="71"/>
      <c r="L453" s="71"/>
      <c r="M453" s="71"/>
      <c r="N453" s="71"/>
      <c r="O453" s="71"/>
    </row>
    <row r="454" spans="1:15" x14ac:dyDescent="0.35">
      <c r="A454" s="71"/>
      <c r="B454" s="71"/>
      <c r="C454" s="71"/>
      <c r="D454" s="71"/>
      <c r="E454" s="68"/>
      <c r="F454" s="68"/>
      <c r="G454" s="71"/>
      <c r="H454" s="71"/>
      <c r="I454" s="71"/>
      <c r="J454" s="71"/>
      <c r="K454" s="71"/>
      <c r="L454" s="71"/>
      <c r="M454" s="71"/>
      <c r="N454" s="71"/>
      <c r="O454" s="71"/>
    </row>
    <row r="455" spans="1:15" x14ac:dyDescent="0.35">
      <c r="A455" s="71"/>
      <c r="B455" s="71"/>
      <c r="C455" s="71"/>
      <c r="D455" s="71"/>
      <c r="E455" s="68"/>
      <c r="F455" s="68"/>
      <c r="G455" s="71"/>
      <c r="H455" s="71"/>
      <c r="I455" s="71"/>
      <c r="J455" s="71"/>
      <c r="K455" s="71"/>
      <c r="L455" s="71"/>
      <c r="M455" s="71"/>
      <c r="N455" s="71"/>
      <c r="O455" s="71"/>
    </row>
    <row r="456" spans="1:15" x14ac:dyDescent="0.35">
      <c r="A456" s="71"/>
      <c r="B456" s="71"/>
      <c r="C456" s="71"/>
      <c r="D456" s="71"/>
      <c r="E456" s="68"/>
      <c r="F456" s="68"/>
      <c r="G456" s="71"/>
      <c r="H456" s="71"/>
      <c r="I456" s="71"/>
      <c r="J456" s="71"/>
      <c r="K456" s="71"/>
      <c r="L456" s="71"/>
      <c r="M456" s="71"/>
      <c r="N456" s="71"/>
      <c r="O456" s="71"/>
    </row>
    <row r="457" spans="1:15" x14ac:dyDescent="0.35">
      <c r="A457" s="71"/>
      <c r="B457" s="71"/>
      <c r="C457" s="71"/>
      <c r="D457" s="71"/>
      <c r="E457" s="68"/>
      <c r="F457" s="68"/>
      <c r="G457" s="71"/>
      <c r="H457" s="71"/>
      <c r="I457" s="71"/>
      <c r="J457" s="71"/>
      <c r="K457" s="71"/>
      <c r="L457" s="71"/>
      <c r="M457" s="71"/>
      <c r="N457" s="71"/>
      <c r="O457" s="71"/>
    </row>
    <row r="458" spans="1:15" x14ac:dyDescent="0.35">
      <c r="A458" s="71"/>
      <c r="B458" s="71"/>
      <c r="C458" s="71"/>
      <c r="D458" s="71"/>
      <c r="E458" s="68"/>
      <c r="F458" s="68"/>
      <c r="G458" s="71"/>
      <c r="H458" s="71"/>
      <c r="I458" s="71"/>
      <c r="J458" s="71"/>
      <c r="K458" s="71"/>
      <c r="L458" s="71"/>
      <c r="M458" s="71"/>
      <c r="N458" s="71"/>
      <c r="O458" s="71"/>
    </row>
    <row r="459" spans="1:15" x14ac:dyDescent="0.35">
      <c r="A459" s="71"/>
      <c r="B459" s="71"/>
      <c r="C459" s="71"/>
      <c r="D459" s="71"/>
      <c r="E459" s="68"/>
      <c r="F459" s="68"/>
      <c r="G459" s="71"/>
      <c r="H459" s="71"/>
      <c r="I459" s="71"/>
      <c r="J459" s="71"/>
      <c r="K459" s="71"/>
      <c r="L459" s="71"/>
      <c r="M459" s="71"/>
      <c r="N459" s="71"/>
      <c r="O459" s="71"/>
    </row>
    <row r="460" spans="1:15" x14ac:dyDescent="0.35">
      <c r="A460" s="71"/>
      <c r="B460" s="71"/>
      <c r="C460" s="71"/>
      <c r="D460" s="71"/>
      <c r="E460" s="68"/>
      <c r="F460" s="68"/>
      <c r="G460" s="71"/>
      <c r="H460" s="71"/>
      <c r="I460" s="71"/>
      <c r="J460" s="71"/>
      <c r="K460" s="71"/>
      <c r="L460" s="71"/>
      <c r="M460" s="71"/>
      <c r="N460" s="71"/>
      <c r="O460" s="71"/>
    </row>
    <row r="461" spans="1:15" x14ac:dyDescent="0.35">
      <c r="A461" s="71"/>
      <c r="B461" s="71"/>
      <c r="C461" s="71"/>
      <c r="D461" s="71"/>
      <c r="E461" s="68"/>
      <c r="F461" s="68"/>
      <c r="G461" s="71"/>
      <c r="H461" s="71"/>
      <c r="I461" s="71"/>
      <c r="J461" s="71"/>
      <c r="K461" s="71"/>
      <c r="L461" s="71"/>
      <c r="M461" s="71"/>
      <c r="N461" s="71"/>
      <c r="O461" s="71"/>
    </row>
    <row r="462" spans="1:15" x14ac:dyDescent="0.35">
      <c r="A462" s="71"/>
      <c r="B462" s="71"/>
      <c r="C462" s="71"/>
      <c r="D462" s="71"/>
      <c r="E462" s="68"/>
      <c r="F462" s="68"/>
      <c r="G462" s="71"/>
      <c r="H462" s="71"/>
      <c r="I462" s="71"/>
      <c r="J462" s="71"/>
      <c r="K462" s="71"/>
      <c r="L462" s="71"/>
      <c r="M462" s="71"/>
      <c r="N462" s="71"/>
      <c r="O462" s="71"/>
    </row>
    <row r="463" spans="1:15" x14ac:dyDescent="0.35">
      <c r="A463" s="71"/>
      <c r="B463" s="71"/>
      <c r="C463" s="71"/>
      <c r="D463" s="71"/>
      <c r="E463" s="68"/>
      <c r="F463" s="68"/>
      <c r="G463" s="71"/>
      <c r="H463" s="71"/>
      <c r="I463" s="71"/>
      <c r="J463" s="71"/>
      <c r="K463" s="71"/>
      <c r="L463" s="71"/>
      <c r="M463" s="71"/>
      <c r="N463" s="71"/>
      <c r="O463" s="71"/>
    </row>
    <row r="464" spans="1:15" x14ac:dyDescent="0.35">
      <c r="A464" s="71"/>
      <c r="B464" s="71"/>
      <c r="C464" s="71"/>
      <c r="D464" s="71"/>
      <c r="E464" s="68"/>
      <c r="F464" s="68"/>
      <c r="G464" s="71"/>
      <c r="H464" s="71"/>
      <c r="I464" s="71"/>
      <c r="J464" s="71"/>
      <c r="K464" s="71"/>
      <c r="L464" s="71"/>
      <c r="M464" s="71"/>
      <c r="N464" s="71"/>
      <c r="O464" s="71"/>
    </row>
    <row r="465" spans="1:15" x14ac:dyDescent="0.35">
      <c r="A465" s="71"/>
      <c r="B465" s="71"/>
      <c r="C465" s="71"/>
      <c r="D465" s="71"/>
      <c r="E465" s="68"/>
      <c r="F465" s="68"/>
      <c r="G465" s="71"/>
      <c r="H465" s="71"/>
      <c r="I465" s="71"/>
      <c r="J465" s="71"/>
      <c r="K465" s="71"/>
      <c r="L465" s="71"/>
      <c r="M465" s="71"/>
      <c r="N465" s="71"/>
      <c r="O465" s="71"/>
    </row>
    <row r="466" spans="1:15" x14ac:dyDescent="0.35">
      <c r="A466" s="71"/>
      <c r="B466" s="71"/>
      <c r="C466" s="71"/>
      <c r="D466" s="71"/>
      <c r="E466" s="68"/>
      <c r="F466" s="68"/>
      <c r="G466" s="71"/>
      <c r="H466" s="71"/>
      <c r="I466" s="71"/>
      <c r="J466" s="71"/>
      <c r="K466" s="71"/>
      <c r="L466" s="71"/>
      <c r="M466" s="71"/>
      <c r="N466" s="71"/>
      <c r="O466" s="71"/>
    </row>
    <row r="467" spans="1:15" x14ac:dyDescent="0.35">
      <c r="A467" s="71"/>
      <c r="B467" s="71"/>
      <c r="C467" s="71"/>
      <c r="D467" s="71"/>
      <c r="E467" s="68"/>
      <c r="F467" s="68"/>
      <c r="G467" s="71"/>
      <c r="H467" s="71"/>
      <c r="I467" s="71"/>
      <c r="J467" s="71"/>
      <c r="K467" s="71"/>
      <c r="L467" s="71"/>
      <c r="M467" s="71"/>
      <c r="N467" s="71"/>
      <c r="O467" s="71"/>
    </row>
    <row r="468" spans="1:15" x14ac:dyDescent="0.35">
      <c r="A468" s="71"/>
      <c r="B468" s="71"/>
      <c r="C468" s="71"/>
      <c r="D468" s="71"/>
      <c r="E468" s="68"/>
      <c r="F468" s="68"/>
      <c r="G468" s="71"/>
      <c r="H468" s="71"/>
      <c r="I468" s="71"/>
      <c r="J468" s="71"/>
      <c r="K468" s="71"/>
      <c r="L468" s="71"/>
      <c r="M468" s="71"/>
      <c r="N468" s="71"/>
      <c r="O468" s="71"/>
    </row>
    <row r="469" spans="1:15" x14ac:dyDescent="0.35">
      <c r="A469" s="71"/>
      <c r="B469" s="71"/>
      <c r="C469" s="71"/>
      <c r="D469" s="71"/>
      <c r="E469" s="68"/>
      <c r="F469" s="68"/>
      <c r="G469" s="71"/>
      <c r="H469" s="71"/>
      <c r="I469" s="71"/>
      <c r="J469" s="71"/>
      <c r="K469" s="71"/>
      <c r="L469" s="71"/>
      <c r="M469" s="71"/>
      <c r="N469" s="71"/>
      <c r="O469" s="71"/>
    </row>
    <row r="470" spans="1:15" x14ac:dyDescent="0.35">
      <c r="A470" s="71"/>
      <c r="B470" s="71"/>
      <c r="C470" s="71"/>
      <c r="D470" s="71"/>
      <c r="E470" s="68"/>
      <c r="F470" s="68"/>
      <c r="G470" s="71"/>
      <c r="H470" s="71"/>
      <c r="I470" s="71"/>
      <c r="J470" s="71"/>
      <c r="K470" s="71"/>
      <c r="L470" s="71"/>
      <c r="M470" s="71"/>
      <c r="N470" s="71"/>
      <c r="O470" s="71"/>
    </row>
    <row r="471" spans="1:15" x14ac:dyDescent="0.35">
      <c r="A471" s="71"/>
      <c r="B471" s="71"/>
      <c r="C471" s="71"/>
      <c r="D471" s="71"/>
      <c r="E471" s="68"/>
      <c r="F471" s="68"/>
      <c r="G471" s="71"/>
      <c r="H471" s="71"/>
      <c r="I471" s="71"/>
      <c r="J471" s="71"/>
      <c r="K471" s="71"/>
      <c r="L471" s="71"/>
      <c r="M471" s="71"/>
      <c r="N471" s="71"/>
      <c r="O471" s="71"/>
    </row>
    <row r="472" spans="1:15" x14ac:dyDescent="0.35">
      <c r="A472" s="71"/>
      <c r="B472" s="71"/>
      <c r="C472" s="71"/>
      <c r="D472" s="71"/>
      <c r="E472" s="68"/>
      <c r="F472" s="68"/>
      <c r="G472" s="71"/>
      <c r="H472" s="71"/>
      <c r="I472" s="71"/>
      <c r="J472" s="71"/>
      <c r="K472" s="71"/>
      <c r="L472" s="71"/>
      <c r="M472" s="71"/>
      <c r="N472" s="71"/>
      <c r="O472" s="71"/>
    </row>
    <row r="473" spans="1:15" x14ac:dyDescent="0.35">
      <c r="A473" s="71"/>
      <c r="B473" s="71"/>
      <c r="C473" s="71"/>
      <c r="D473" s="71"/>
      <c r="E473" s="68"/>
      <c r="F473" s="68"/>
      <c r="G473" s="71"/>
      <c r="H473" s="71"/>
      <c r="I473" s="71"/>
      <c r="J473" s="71"/>
      <c r="K473" s="71"/>
      <c r="L473" s="71"/>
      <c r="M473" s="71"/>
      <c r="N473" s="71"/>
      <c r="O473" s="71"/>
    </row>
    <row r="474" spans="1:15" x14ac:dyDescent="0.35">
      <c r="A474" s="71"/>
      <c r="B474" s="71"/>
      <c r="C474" s="71"/>
      <c r="D474" s="71"/>
      <c r="E474" s="68"/>
      <c r="F474" s="68"/>
      <c r="G474" s="71"/>
      <c r="H474" s="71"/>
      <c r="I474" s="71"/>
      <c r="J474" s="71"/>
      <c r="K474" s="71"/>
      <c r="L474" s="71"/>
      <c r="M474" s="71"/>
      <c r="N474" s="71"/>
      <c r="O474" s="71"/>
    </row>
    <row r="475" spans="1:15" x14ac:dyDescent="0.35">
      <c r="A475" s="71"/>
      <c r="B475" s="71"/>
      <c r="C475" s="71"/>
      <c r="D475" s="71"/>
      <c r="E475" s="68"/>
      <c r="F475" s="68"/>
      <c r="G475" s="71"/>
      <c r="H475" s="71"/>
      <c r="I475" s="71"/>
      <c r="J475" s="71"/>
      <c r="K475" s="71"/>
      <c r="L475" s="71"/>
      <c r="M475" s="71"/>
      <c r="N475" s="71"/>
      <c r="O475" s="71"/>
    </row>
    <row r="476" spans="1:15" x14ac:dyDescent="0.35">
      <c r="A476" s="71"/>
      <c r="B476" s="71"/>
      <c r="C476" s="71"/>
      <c r="D476" s="71"/>
      <c r="E476" s="68"/>
      <c r="F476" s="68"/>
      <c r="G476" s="71"/>
      <c r="H476" s="71"/>
      <c r="I476" s="71"/>
      <c r="J476" s="71"/>
      <c r="K476" s="71"/>
      <c r="L476" s="71"/>
      <c r="M476" s="71"/>
      <c r="N476" s="71"/>
      <c r="O476" s="71"/>
    </row>
    <row r="477" spans="1:15" x14ac:dyDescent="0.35">
      <c r="A477" s="71"/>
      <c r="B477" s="71"/>
      <c r="C477" s="71"/>
      <c r="D477" s="71"/>
      <c r="E477" s="68"/>
      <c r="F477" s="68"/>
      <c r="G477" s="71"/>
      <c r="H477" s="71"/>
      <c r="I477" s="71"/>
      <c r="J477" s="71"/>
      <c r="K477" s="71"/>
      <c r="L477" s="71"/>
      <c r="M477" s="71"/>
      <c r="N477" s="71"/>
      <c r="O477" s="71"/>
    </row>
    <row r="478" spans="1:15" x14ac:dyDescent="0.35">
      <c r="A478" s="71"/>
      <c r="B478" s="71"/>
      <c r="C478" s="71"/>
      <c r="D478" s="71"/>
      <c r="E478" s="68"/>
      <c r="F478" s="68"/>
      <c r="G478" s="71"/>
      <c r="H478" s="71"/>
      <c r="I478" s="71"/>
      <c r="J478" s="71"/>
      <c r="K478" s="71"/>
      <c r="L478" s="71"/>
      <c r="M478" s="71"/>
      <c r="N478" s="71"/>
      <c r="O478" s="71"/>
    </row>
    <row r="479" spans="1:15" x14ac:dyDescent="0.35">
      <c r="A479" s="71"/>
      <c r="B479" s="71"/>
      <c r="C479" s="71"/>
      <c r="D479" s="71"/>
      <c r="E479" s="68"/>
      <c r="F479" s="68"/>
      <c r="G479" s="71"/>
      <c r="H479" s="71"/>
      <c r="I479" s="71"/>
      <c r="J479" s="71"/>
      <c r="K479" s="71"/>
      <c r="L479" s="71"/>
      <c r="M479" s="71"/>
      <c r="N479" s="71"/>
      <c r="O479" s="71"/>
    </row>
    <row r="480" spans="1:15" x14ac:dyDescent="0.35">
      <c r="A480" s="71"/>
      <c r="B480" s="71"/>
      <c r="C480" s="71"/>
      <c r="D480" s="71"/>
      <c r="E480" s="68"/>
      <c r="F480" s="68"/>
      <c r="G480" s="71"/>
      <c r="H480" s="71"/>
      <c r="I480" s="71"/>
      <c r="J480" s="71"/>
      <c r="K480" s="71"/>
      <c r="L480" s="71"/>
      <c r="M480" s="71"/>
      <c r="N480" s="71"/>
      <c r="O480" s="71"/>
    </row>
    <row r="481" spans="1:15" x14ac:dyDescent="0.35">
      <c r="A481" s="71"/>
      <c r="B481" s="71"/>
      <c r="C481" s="71"/>
      <c r="D481" s="71"/>
      <c r="E481" s="68"/>
      <c r="F481" s="68"/>
      <c r="G481" s="71"/>
      <c r="H481" s="71"/>
      <c r="I481" s="71"/>
      <c r="J481" s="71"/>
      <c r="K481" s="71"/>
      <c r="L481" s="71"/>
      <c r="M481" s="71"/>
      <c r="N481" s="71"/>
      <c r="O481" s="71"/>
    </row>
    <row r="482" spans="1:15" x14ac:dyDescent="0.35">
      <c r="A482" s="71"/>
      <c r="B482" s="71"/>
      <c r="C482" s="71"/>
      <c r="D482" s="71"/>
      <c r="E482" s="68"/>
      <c r="F482" s="68"/>
      <c r="G482" s="71"/>
      <c r="H482" s="71"/>
      <c r="I482" s="71"/>
      <c r="J482" s="71"/>
      <c r="K482" s="71"/>
      <c r="L482" s="71"/>
      <c r="M482" s="71"/>
      <c r="N482" s="71"/>
      <c r="O482" s="71"/>
    </row>
    <row r="483" spans="1:15" x14ac:dyDescent="0.35">
      <c r="A483" s="71"/>
      <c r="B483" s="71"/>
      <c r="C483" s="71"/>
      <c r="D483" s="71"/>
      <c r="E483" s="68"/>
      <c r="F483" s="68"/>
      <c r="G483" s="71"/>
      <c r="H483" s="71"/>
      <c r="I483" s="71"/>
      <c r="J483" s="71"/>
      <c r="K483" s="71"/>
      <c r="L483" s="71"/>
      <c r="M483" s="71"/>
      <c r="N483" s="71"/>
      <c r="O483" s="71"/>
    </row>
    <row r="484" spans="1:15" x14ac:dyDescent="0.35">
      <c r="A484" s="71"/>
      <c r="B484" s="71"/>
      <c r="C484" s="71"/>
      <c r="D484" s="71"/>
      <c r="E484" s="68"/>
      <c r="F484" s="68"/>
      <c r="G484" s="71"/>
      <c r="H484" s="71"/>
      <c r="I484" s="71"/>
      <c r="J484" s="71"/>
      <c r="K484" s="71"/>
      <c r="L484" s="71"/>
      <c r="M484" s="71"/>
      <c r="N484" s="71"/>
      <c r="O484" s="71"/>
    </row>
    <row r="485" spans="1:15" x14ac:dyDescent="0.35">
      <c r="A485" s="71"/>
      <c r="B485" s="71"/>
      <c r="C485" s="71"/>
      <c r="D485" s="71"/>
      <c r="E485" s="68"/>
      <c r="F485" s="68"/>
      <c r="G485" s="71"/>
      <c r="H485" s="71"/>
      <c r="I485" s="71"/>
      <c r="J485" s="71"/>
      <c r="K485" s="71"/>
      <c r="L485" s="71"/>
      <c r="M485" s="71"/>
      <c r="N485" s="71"/>
      <c r="O485" s="71"/>
    </row>
    <row r="486" spans="1:15" x14ac:dyDescent="0.35">
      <c r="A486" s="71"/>
      <c r="B486" s="71"/>
      <c r="C486" s="71"/>
      <c r="D486" s="71"/>
      <c r="E486" s="68"/>
      <c r="F486" s="68"/>
      <c r="G486" s="71"/>
      <c r="H486" s="71"/>
      <c r="I486" s="71"/>
      <c r="J486" s="71"/>
      <c r="K486" s="71"/>
      <c r="L486" s="71"/>
      <c r="M486" s="71"/>
      <c r="N486" s="71"/>
      <c r="O486" s="71"/>
    </row>
    <row r="487" spans="1:15" x14ac:dyDescent="0.35">
      <c r="A487" s="71"/>
      <c r="B487" s="71"/>
      <c r="C487" s="71"/>
      <c r="D487" s="71"/>
      <c r="E487" s="68"/>
      <c r="F487" s="68"/>
      <c r="G487" s="71"/>
      <c r="H487" s="71"/>
      <c r="I487" s="71"/>
      <c r="J487" s="71"/>
      <c r="K487" s="71"/>
      <c r="L487" s="71"/>
      <c r="M487" s="71"/>
      <c r="N487" s="71"/>
      <c r="O487" s="71"/>
    </row>
    <row r="488" spans="1:15" x14ac:dyDescent="0.35">
      <c r="A488" s="71"/>
      <c r="B488" s="71"/>
      <c r="C488" s="71"/>
      <c r="D488" s="71"/>
      <c r="E488" s="68"/>
      <c r="F488" s="68"/>
      <c r="G488" s="71"/>
      <c r="H488" s="71"/>
      <c r="I488" s="71"/>
      <c r="J488" s="71"/>
      <c r="K488" s="71"/>
      <c r="L488" s="71"/>
      <c r="M488" s="71"/>
      <c r="N488" s="71"/>
      <c r="O488" s="71"/>
    </row>
    <row r="489" spans="1:15" x14ac:dyDescent="0.35">
      <c r="A489" s="71"/>
      <c r="B489" s="71"/>
      <c r="C489" s="71"/>
      <c r="D489" s="71"/>
      <c r="E489" s="68"/>
      <c r="F489" s="68"/>
      <c r="G489" s="71"/>
      <c r="H489" s="71"/>
      <c r="I489" s="71"/>
      <c r="J489" s="71"/>
      <c r="K489" s="71"/>
      <c r="L489" s="71"/>
      <c r="M489" s="71"/>
      <c r="N489" s="71"/>
      <c r="O489" s="71"/>
    </row>
    <row r="490" spans="1:15" x14ac:dyDescent="0.35">
      <c r="A490" s="71"/>
      <c r="B490" s="71"/>
      <c r="C490" s="71"/>
      <c r="D490" s="71"/>
      <c r="E490" s="68"/>
      <c r="F490" s="68"/>
      <c r="G490" s="71"/>
      <c r="H490" s="71"/>
      <c r="I490" s="71"/>
      <c r="J490" s="71"/>
      <c r="K490" s="71"/>
      <c r="L490" s="71"/>
      <c r="M490" s="71"/>
      <c r="N490" s="71"/>
      <c r="O490" s="71"/>
    </row>
    <row r="491" spans="1:15" x14ac:dyDescent="0.35">
      <c r="A491" s="71"/>
      <c r="B491" s="71"/>
      <c r="C491" s="71"/>
      <c r="D491" s="71"/>
      <c r="E491" s="68"/>
      <c r="F491" s="68"/>
      <c r="G491" s="71"/>
      <c r="H491" s="71"/>
      <c r="I491" s="71"/>
      <c r="J491" s="71"/>
      <c r="K491" s="71"/>
      <c r="L491" s="71"/>
      <c r="M491" s="71"/>
      <c r="N491" s="71"/>
      <c r="O491" s="71"/>
    </row>
    <row r="492" spans="1:15" x14ac:dyDescent="0.35">
      <c r="A492" s="71"/>
      <c r="B492" s="71"/>
      <c r="C492" s="71"/>
      <c r="D492" s="71"/>
      <c r="E492" s="68"/>
      <c r="F492" s="68"/>
      <c r="G492" s="71"/>
      <c r="H492" s="71"/>
      <c r="I492" s="71"/>
      <c r="J492" s="71"/>
      <c r="K492" s="71"/>
      <c r="L492" s="71"/>
      <c r="M492" s="71"/>
      <c r="N492" s="71"/>
      <c r="O492" s="71"/>
    </row>
    <row r="493" spans="1:15" x14ac:dyDescent="0.35">
      <c r="A493" s="71"/>
      <c r="B493" s="71"/>
      <c r="C493" s="71"/>
      <c r="D493" s="71"/>
      <c r="E493" s="68"/>
      <c r="F493" s="68"/>
      <c r="G493" s="71"/>
      <c r="H493" s="71"/>
      <c r="I493" s="71"/>
      <c r="J493" s="71"/>
      <c r="K493" s="71"/>
      <c r="L493" s="71"/>
      <c r="M493" s="71"/>
      <c r="N493" s="71"/>
      <c r="O493" s="71"/>
    </row>
    <row r="494" spans="1:15" x14ac:dyDescent="0.35">
      <c r="A494" s="71"/>
      <c r="B494" s="71"/>
      <c r="C494" s="71"/>
      <c r="D494" s="71"/>
      <c r="E494" s="68"/>
      <c r="F494" s="68"/>
      <c r="G494" s="71"/>
      <c r="H494" s="71"/>
      <c r="I494" s="71"/>
      <c r="J494" s="71"/>
      <c r="K494" s="71"/>
      <c r="L494" s="71"/>
      <c r="M494" s="71"/>
      <c r="N494" s="71"/>
      <c r="O494" s="71"/>
    </row>
    <row r="495" spans="1:15" x14ac:dyDescent="0.35">
      <c r="A495" s="71"/>
      <c r="B495" s="71"/>
      <c r="C495" s="71"/>
      <c r="D495" s="71"/>
      <c r="E495" s="68"/>
      <c r="F495" s="68"/>
      <c r="G495" s="71"/>
      <c r="H495" s="71"/>
      <c r="I495" s="71"/>
      <c r="J495" s="71"/>
      <c r="K495" s="71"/>
      <c r="L495" s="71"/>
      <c r="M495" s="71"/>
      <c r="N495" s="71"/>
      <c r="O495" s="71"/>
    </row>
    <row r="496" spans="1:15" x14ac:dyDescent="0.35">
      <c r="A496" s="71"/>
      <c r="B496" s="71"/>
      <c r="C496" s="71"/>
      <c r="D496" s="71"/>
      <c r="E496" s="68"/>
      <c r="F496" s="68"/>
      <c r="G496" s="71"/>
      <c r="H496" s="71"/>
      <c r="I496" s="71"/>
      <c r="J496" s="71"/>
      <c r="K496" s="71"/>
      <c r="L496" s="71"/>
      <c r="M496" s="71"/>
      <c r="N496" s="71"/>
      <c r="O496" s="71"/>
    </row>
    <row r="497" spans="1:15" x14ac:dyDescent="0.35">
      <c r="A497" s="71"/>
      <c r="B497" s="71"/>
      <c r="C497" s="71"/>
      <c r="D497" s="71"/>
      <c r="E497" s="68"/>
      <c r="F497" s="68"/>
      <c r="G497" s="71"/>
      <c r="H497" s="71"/>
      <c r="I497" s="71"/>
      <c r="J497" s="71"/>
      <c r="K497" s="71"/>
      <c r="L497" s="71"/>
      <c r="M497" s="71"/>
      <c r="N497" s="71"/>
      <c r="O497" s="71"/>
    </row>
    <row r="498" spans="1:15" x14ac:dyDescent="0.35">
      <c r="A498" s="71"/>
      <c r="B498" s="71"/>
      <c r="C498" s="71"/>
      <c r="D498" s="71"/>
      <c r="E498" s="68"/>
      <c r="F498" s="68"/>
      <c r="G498" s="71"/>
      <c r="H498" s="71"/>
      <c r="I498" s="71"/>
      <c r="J498" s="71"/>
      <c r="K498" s="71"/>
      <c r="L498" s="71"/>
      <c r="M498" s="71"/>
      <c r="N498" s="71"/>
      <c r="O498" s="71"/>
    </row>
    <row r="499" spans="1:15" x14ac:dyDescent="0.35">
      <c r="A499" s="71"/>
      <c r="B499" s="71"/>
      <c r="C499" s="71"/>
      <c r="D499" s="71"/>
      <c r="E499" s="68"/>
      <c r="F499" s="68"/>
      <c r="G499" s="71"/>
      <c r="H499" s="71"/>
      <c r="I499" s="71"/>
      <c r="J499" s="71"/>
      <c r="K499" s="71"/>
      <c r="L499" s="71"/>
      <c r="M499" s="71"/>
      <c r="N499" s="71"/>
      <c r="O499" s="71"/>
    </row>
    <row r="500" spans="1:15" x14ac:dyDescent="0.35">
      <c r="A500" s="71"/>
      <c r="B500" s="71"/>
      <c r="C500" s="71"/>
      <c r="D500" s="71"/>
      <c r="E500" s="68"/>
      <c r="F500" s="68"/>
      <c r="G500" s="71"/>
      <c r="H500" s="71"/>
      <c r="I500" s="71"/>
      <c r="J500" s="71"/>
      <c r="K500" s="71"/>
      <c r="L500" s="71"/>
      <c r="M500" s="71"/>
      <c r="N500" s="71"/>
      <c r="O500" s="71"/>
    </row>
    <row r="501" spans="1:15" x14ac:dyDescent="0.35">
      <c r="A501" s="71"/>
      <c r="B501" s="71"/>
      <c r="C501" s="71"/>
      <c r="D501" s="71"/>
      <c r="E501" s="68"/>
      <c r="F501" s="68"/>
      <c r="G501" s="71"/>
      <c r="H501" s="71"/>
      <c r="I501" s="71"/>
      <c r="J501" s="71"/>
      <c r="K501" s="71"/>
      <c r="L501" s="71"/>
      <c r="M501" s="71"/>
      <c r="N501" s="71"/>
      <c r="O501" s="71"/>
    </row>
    <row r="502" spans="1:15" x14ac:dyDescent="0.35">
      <c r="A502" s="71"/>
      <c r="B502" s="71"/>
      <c r="C502" s="71"/>
      <c r="D502" s="71"/>
      <c r="E502" s="68"/>
      <c r="F502" s="68"/>
      <c r="G502" s="71"/>
      <c r="H502" s="71"/>
      <c r="I502" s="71"/>
      <c r="J502" s="71"/>
      <c r="K502" s="71"/>
      <c r="L502" s="71"/>
      <c r="M502" s="71"/>
      <c r="N502" s="71"/>
      <c r="O502" s="71"/>
    </row>
    <row r="503" spans="1:15" x14ac:dyDescent="0.35">
      <c r="A503" s="71"/>
      <c r="B503" s="71"/>
      <c r="C503" s="71"/>
      <c r="D503" s="71"/>
      <c r="E503" s="68"/>
      <c r="F503" s="68"/>
      <c r="G503" s="71"/>
      <c r="H503" s="71"/>
      <c r="I503" s="71"/>
      <c r="J503" s="71"/>
      <c r="K503" s="71"/>
      <c r="L503" s="71"/>
      <c r="M503" s="71"/>
      <c r="N503" s="71"/>
      <c r="O503" s="71"/>
    </row>
    <row r="504" spans="1:15" x14ac:dyDescent="0.35">
      <c r="A504" s="71"/>
      <c r="B504" s="71"/>
      <c r="C504" s="71"/>
      <c r="D504" s="71"/>
      <c r="E504" s="68"/>
      <c r="F504" s="68"/>
      <c r="G504" s="71"/>
      <c r="H504" s="71"/>
      <c r="I504" s="71"/>
      <c r="J504" s="71"/>
      <c r="K504" s="71"/>
      <c r="L504" s="71"/>
      <c r="M504" s="71"/>
      <c r="N504" s="71"/>
      <c r="O504" s="71"/>
    </row>
    <row r="505" spans="1:15" x14ac:dyDescent="0.35">
      <c r="A505" s="71"/>
      <c r="B505" s="71"/>
      <c r="C505" s="71"/>
      <c r="D505" s="71"/>
      <c r="E505" s="68"/>
      <c r="F505" s="68"/>
      <c r="G505" s="71"/>
      <c r="H505" s="71"/>
      <c r="I505" s="71"/>
      <c r="J505" s="71"/>
      <c r="K505" s="71"/>
      <c r="L505" s="71"/>
      <c r="M505" s="71"/>
      <c r="N505" s="71"/>
      <c r="O505" s="71"/>
    </row>
    <row r="506" spans="1:15" x14ac:dyDescent="0.35">
      <c r="A506" s="71"/>
      <c r="B506" s="71"/>
      <c r="C506" s="71"/>
      <c r="D506" s="71"/>
      <c r="E506" s="68"/>
      <c r="F506" s="68"/>
      <c r="G506" s="71"/>
      <c r="H506" s="71"/>
      <c r="I506" s="71"/>
      <c r="J506" s="71"/>
      <c r="K506" s="71"/>
      <c r="L506" s="71"/>
      <c r="M506" s="71"/>
      <c r="N506" s="71"/>
      <c r="O506" s="71"/>
    </row>
    <row r="507" spans="1:15" x14ac:dyDescent="0.35">
      <c r="A507" s="71"/>
      <c r="B507" s="71"/>
      <c r="C507" s="71"/>
      <c r="D507" s="71"/>
      <c r="E507" s="68"/>
      <c r="F507" s="68"/>
      <c r="G507" s="71"/>
      <c r="H507" s="71"/>
      <c r="I507" s="71"/>
      <c r="J507" s="71"/>
      <c r="K507" s="71"/>
      <c r="L507" s="71"/>
      <c r="M507" s="71"/>
      <c r="N507" s="71"/>
      <c r="O507" s="71"/>
    </row>
    <row r="508" spans="1:15" x14ac:dyDescent="0.35">
      <c r="A508" s="71"/>
      <c r="B508" s="71"/>
      <c r="C508" s="71"/>
      <c r="D508" s="71"/>
      <c r="E508" s="68"/>
      <c r="F508" s="68"/>
      <c r="G508" s="71"/>
      <c r="H508" s="71"/>
      <c r="I508" s="71"/>
      <c r="J508" s="71"/>
      <c r="K508" s="71"/>
      <c r="L508" s="71"/>
      <c r="M508" s="71"/>
      <c r="N508" s="71"/>
      <c r="O508" s="71"/>
    </row>
    <row r="509" spans="1:15" x14ac:dyDescent="0.35">
      <c r="A509" s="71"/>
      <c r="B509" s="71"/>
      <c r="C509" s="71"/>
      <c r="D509" s="71"/>
      <c r="E509" s="68"/>
      <c r="F509" s="68"/>
      <c r="G509" s="71"/>
      <c r="H509" s="71"/>
      <c r="I509" s="71"/>
      <c r="J509" s="71"/>
      <c r="K509" s="71"/>
      <c r="L509" s="71"/>
      <c r="M509" s="71"/>
      <c r="N509" s="71"/>
      <c r="O509" s="71"/>
    </row>
    <row r="510" spans="1:15" x14ac:dyDescent="0.35">
      <c r="A510" s="71"/>
      <c r="B510" s="71"/>
      <c r="C510" s="71"/>
      <c r="D510" s="71"/>
      <c r="E510" s="68"/>
      <c r="F510" s="68"/>
      <c r="G510" s="71"/>
      <c r="H510" s="71"/>
      <c r="I510" s="71"/>
      <c r="J510" s="71"/>
      <c r="K510" s="71"/>
      <c r="L510" s="71"/>
      <c r="M510" s="71"/>
      <c r="N510" s="71"/>
      <c r="O510" s="71"/>
    </row>
    <row r="511" spans="1:15" x14ac:dyDescent="0.35">
      <c r="A511" s="71"/>
      <c r="B511" s="71"/>
      <c r="C511" s="71"/>
      <c r="D511" s="71"/>
      <c r="E511" s="68"/>
      <c r="F511" s="68"/>
      <c r="G511" s="71"/>
      <c r="H511" s="71"/>
      <c r="I511" s="71"/>
      <c r="J511" s="71"/>
      <c r="K511" s="71"/>
      <c r="L511" s="71"/>
      <c r="M511" s="71"/>
      <c r="N511" s="71"/>
      <c r="O511" s="71"/>
    </row>
    <row r="512" spans="1:15" x14ac:dyDescent="0.35">
      <c r="A512" s="71"/>
      <c r="B512" s="71"/>
      <c r="C512" s="71"/>
      <c r="D512" s="71"/>
      <c r="E512" s="68"/>
      <c r="F512" s="68"/>
      <c r="G512" s="71"/>
      <c r="H512" s="71"/>
      <c r="I512" s="71"/>
      <c r="J512" s="71"/>
      <c r="K512" s="71"/>
      <c r="L512" s="71"/>
      <c r="M512" s="71"/>
      <c r="N512" s="71"/>
      <c r="O512" s="71"/>
    </row>
    <row r="513" spans="1:15" x14ac:dyDescent="0.35">
      <c r="A513" s="71"/>
      <c r="B513" s="71"/>
      <c r="C513" s="71"/>
      <c r="D513" s="71"/>
      <c r="E513" s="68"/>
      <c r="F513" s="68"/>
      <c r="G513" s="71"/>
      <c r="H513" s="71"/>
      <c r="I513" s="71"/>
      <c r="J513" s="71"/>
      <c r="K513" s="71"/>
      <c r="L513" s="71"/>
      <c r="M513" s="71"/>
      <c r="N513" s="71"/>
      <c r="O513" s="71"/>
    </row>
    <row r="514" spans="1:15" x14ac:dyDescent="0.35">
      <c r="A514" s="71"/>
      <c r="B514" s="71"/>
      <c r="C514" s="71"/>
      <c r="D514" s="71"/>
      <c r="E514" s="68"/>
      <c r="F514" s="68"/>
      <c r="G514" s="71"/>
      <c r="H514" s="71"/>
      <c r="I514" s="71"/>
      <c r="J514" s="71"/>
      <c r="K514" s="71"/>
      <c r="L514" s="71"/>
      <c r="M514" s="71"/>
      <c r="N514" s="71"/>
      <c r="O514" s="71"/>
    </row>
    <row r="515" spans="1:15" x14ac:dyDescent="0.35">
      <c r="A515" s="71"/>
      <c r="B515" s="71"/>
      <c r="C515" s="71"/>
      <c r="D515" s="71"/>
      <c r="E515" s="68"/>
      <c r="F515" s="68"/>
      <c r="G515" s="71"/>
      <c r="H515" s="71"/>
      <c r="I515" s="71"/>
      <c r="J515" s="71"/>
      <c r="K515" s="71"/>
      <c r="L515" s="71"/>
      <c r="M515" s="71"/>
      <c r="N515" s="71"/>
      <c r="O515" s="71"/>
    </row>
    <row r="516" spans="1:15" x14ac:dyDescent="0.35">
      <c r="A516" s="71"/>
      <c r="B516" s="71"/>
      <c r="C516" s="71"/>
      <c r="D516" s="71"/>
      <c r="E516" s="68"/>
      <c r="F516" s="68"/>
      <c r="G516" s="71"/>
      <c r="H516" s="71"/>
      <c r="I516" s="71"/>
      <c r="J516" s="71"/>
      <c r="K516" s="71"/>
      <c r="L516" s="71"/>
      <c r="M516" s="71"/>
      <c r="N516" s="71"/>
      <c r="O516" s="71"/>
    </row>
    <row r="517" spans="1:15" x14ac:dyDescent="0.35">
      <c r="A517" s="71"/>
      <c r="B517" s="71"/>
      <c r="C517" s="71"/>
      <c r="D517" s="71"/>
      <c r="E517" s="68"/>
      <c r="F517" s="68"/>
      <c r="G517" s="71"/>
      <c r="H517" s="71"/>
      <c r="I517" s="71"/>
      <c r="J517" s="71"/>
      <c r="K517" s="71"/>
      <c r="L517" s="71"/>
      <c r="M517" s="71"/>
      <c r="N517" s="71"/>
      <c r="O517" s="71"/>
    </row>
    <row r="518" spans="1:15" x14ac:dyDescent="0.35">
      <c r="A518" s="71"/>
      <c r="B518" s="71"/>
      <c r="C518" s="71"/>
      <c r="D518" s="71"/>
      <c r="E518" s="68"/>
      <c r="F518" s="68"/>
      <c r="G518" s="71"/>
      <c r="H518" s="71"/>
      <c r="I518" s="71"/>
      <c r="J518" s="71"/>
      <c r="K518" s="71"/>
      <c r="L518" s="71"/>
      <c r="M518" s="71"/>
      <c r="N518" s="71"/>
      <c r="O518" s="71"/>
    </row>
    <row r="519" spans="1:15" x14ac:dyDescent="0.35">
      <c r="A519" s="71"/>
      <c r="B519" s="71"/>
      <c r="C519" s="71"/>
      <c r="D519" s="71"/>
      <c r="E519" s="68"/>
      <c r="F519" s="68"/>
      <c r="G519" s="71"/>
      <c r="H519" s="71"/>
      <c r="I519" s="71"/>
      <c r="J519" s="71"/>
      <c r="K519" s="71"/>
      <c r="L519" s="71"/>
      <c r="M519" s="71"/>
      <c r="N519" s="71"/>
      <c r="O519" s="71"/>
    </row>
    <row r="520" spans="1:15" x14ac:dyDescent="0.35">
      <c r="A520" s="71"/>
      <c r="B520" s="71"/>
      <c r="C520" s="71"/>
      <c r="D520" s="71"/>
      <c r="E520" s="68"/>
      <c r="F520" s="68"/>
      <c r="G520" s="71"/>
      <c r="H520" s="71"/>
      <c r="I520" s="71"/>
      <c r="J520" s="71"/>
      <c r="K520" s="71"/>
      <c r="L520" s="71"/>
      <c r="M520" s="71"/>
      <c r="N520" s="71"/>
      <c r="O520" s="71"/>
    </row>
    <row r="521" spans="1:15" x14ac:dyDescent="0.35">
      <c r="A521" s="71"/>
      <c r="B521" s="71"/>
      <c r="C521" s="71"/>
      <c r="D521" s="71"/>
      <c r="E521" s="68"/>
      <c r="F521" s="68"/>
      <c r="G521" s="71"/>
      <c r="H521" s="71"/>
      <c r="I521" s="71"/>
      <c r="J521" s="71"/>
      <c r="K521" s="71"/>
      <c r="L521" s="71"/>
      <c r="M521" s="71"/>
      <c r="N521" s="71"/>
      <c r="O521" s="71"/>
    </row>
    <row r="522" spans="1:15" x14ac:dyDescent="0.35">
      <c r="A522" s="71"/>
      <c r="B522" s="71"/>
      <c r="C522" s="71"/>
      <c r="D522" s="71"/>
      <c r="E522" s="68"/>
      <c r="F522" s="68"/>
      <c r="G522" s="71"/>
      <c r="H522" s="71"/>
      <c r="I522" s="71"/>
      <c r="J522" s="71"/>
      <c r="K522" s="71"/>
      <c r="L522" s="71"/>
      <c r="M522" s="71"/>
      <c r="N522" s="71"/>
      <c r="O522" s="71"/>
    </row>
    <row r="523" spans="1:15" x14ac:dyDescent="0.35">
      <c r="A523" s="71"/>
      <c r="B523" s="71"/>
      <c r="C523" s="71"/>
      <c r="D523" s="71"/>
      <c r="E523" s="68"/>
      <c r="F523" s="68"/>
      <c r="G523" s="71"/>
      <c r="H523" s="71"/>
      <c r="I523" s="71"/>
      <c r="J523" s="71"/>
      <c r="K523" s="71"/>
      <c r="L523" s="71"/>
      <c r="M523" s="71"/>
      <c r="N523" s="71"/>
      <c r="O523" s="71"/>
    </row>
    <row r="524" spans="1:15" x14ac:dyDescent="0.35">
      <c r="A524" s="71"/>
      <c r="B524" s="71"/>
      <c r="C524" s="71"/>
      <c r="D524" s="71"/>
      <c r="E524" s="68"/>
      <c r="F524" s="68"/>
      <c r="G524" s="71"/>
      <c r="H524" s="71"/>
      <c r="I524" s="71"/>
      <c r="J524" s="71"/>
      <c r="K524" s="71"/>
      <c r="L524" s="71"/>
      <c r="M524" s="71"/>
      <c r="N524" s="71"/>
      <c r="O524" s="71"/>
    </row>
    <row r="525" spans="1:15" x14ac:dyDescent="0.35">
      <c r="A525" s="71"/>
      <c r="B525" s="71"/>
      <c r="C525" s="71"/>
      <c r="D525" s="71"/>
      <c r="E525" s="68"/>
      <c r="F525" s="68"/>
      <c r="G525" s="71"/>
      <c r="H525" s="71"/>
      <c r="I525" s="71"/>
      <c r="J525" s="71"/>
      <c r="K525" s="71"/>
      <c r="L525" s="71"/>
      <c r="M525" s="71"/>
      <c r="N525" s="71"/>
      <c r="O525" s="71"/>
    </row>
    <row r="526" spans="1:15" x14ac:dyDescent="0.35">
      <c r="A526" s="71"/>
      <c r="B526" s="71"/>
      <c r="C526" s="71"/>
      <c r="D526" s="71"/>
      <c r="E526" s="68"/>
      <c r="F526" s="68"/>
      <c r="G526" s="71"/>
      <c r="H526" s="71"/>
      <c r="I526" s="71"/>
      <c r="J526" s="71"/>
      <c r="K526" s="71"/>
      <c r="L526" s="71"/>
      <c r="M526" s="71"/>
      <c r="N526" s="71"/>
      <c r="O526" s="71"/>
    </row>
    <row r="527" spans="1:15" x14ac:dyDescent="0.35">
      <c r="A527" s="71"/>
      <c r="B527" s="71"/>
      <c r="C527" s="71"/>
      <c r="D527" s="71"/>
      <c r="E527" s="68"/>
      <c r="F527" s="68"/>
      <c r="G527" s="71"/>
      <c r="H527" s="71"/>
      <c r="I527" s="71"/>
      <c r="J527" s="71"/>
      <c r="K527" s="71"/>
      <c r="L527" s="71"/>
      <c r="M527" s="71"/>
      <c r="N527" s="71"/>
      <c r="O527" s="71"/>
    </row>
    <row r="528" spans="1:15" x14ac:dyDescent="0.35">
      <c r="A528" s="71"/>
      <c r="B528" s="71"/>
      <c r="C528" s="71"/>
      <c r="D528" s="71"/>
      <c r="E528" s="68"/>
      <c r="F528" s="68"/>
      <c r="G528" s="71"/>
      <c r="H528" s="71"/>
      <c r="I528" s="71"/>
      <c r="J528" s="71"/>
      <c r="K528" s="71"/>
      <c r="L528" s="71"/>
      <c r="M528" s="71"/>
      <c r="N528" s="71"/>
      <c r="O528" s="71"/>
    </row>
    <row r="529" spans="1:15" x14ac:dyDescent="0.35">
      <c r="A529" s="71"/>
      <c r="B529" s="71"/>
      <c r="C529" s="71"/>
      <c r="D529" s="71"/>
      <c r="E529" s="68"/>
      <c r="F529" s="68"/>
      <c r="G529" s="71"/>
      <c r="H529" s="71"/>
      <c r="I529" s="71"/>
      <c r="J529" s="71"/>
      <c r="K529" s="71"/>
      <c r="L529" s="71"/>
      <c r="M529" s="71"/>
      <c r="N529" s="71"/>
      <c r="O529" s="71"/>
    </row>
    <row r="530" spans="1:15" x14ac:dyDescent="0.35">
      <c r="A530" s="71"/>
      <c r="B530" s="71"/>
      <c r="C530" s="71"/>
      <c r="D530" s="71"/>
      <c r="E530" s="68"/>
      <c r="F530" s="68"/>
      <c r="G530" s="71"/>
      <c r="H530" s="71"/>
      <c r="I530" s="71"/>
      <c r="J530" s="71"/>
      <c r="K530" s="71"/>
      <c r="L530" s="71"/>
      <c r="M530" s="71"/>
      <c r="N530" s="71"/>
      <c r="O530" s="71"/>
    </row>
    <row r="531" spans="1:15" x14ac:dyDescent="0.35">
      <c r="A531" s="71"/>
      <c r="B531" s="71"/>
      <c r="C531" s="71"/>
      <c r="D531" s="71"/>
      <c r="E531" s="68"/>
      <c r="F531" s="68"/>
      <c r="G531" s="71"/>
      <c r="H531" s="71"/>
      <c r="I531" s="71"/>
      <c r="J531" s="71"/>
      <c r="K531" s="71"/>
      <c r="L531" s="71"/>
      <c r="M531" s="71"/>
      <c r="N531" s="71"/>
      <c r="O531" s="71"/>
    </row>
    <row r="532" spans="1:15" x14ac:dyDescent="0.35">
      <c r="A532" s="71"/>
      <c r="B532" s="71"/>
      <c r="C532" s="71"/>
      <c r="D532" s="71"/>
      <c r="E532" s="68"/>
      <c r="F532" s="68"/>
      <c r="G532" s="71"/>
      <c r="H532" s="71"/>
      <c r="I532" s="71"/>
      <c r="J532" s="71"/>
      <c r="K532" s="71"/>
      <c r="L532" s="71"/>
      <c r="M532" s="71"/>
      <c r="N532" s="71"/>
      <c r="O532" s="71"/>
    </row>
    <row r="533" spans="1:15" x14ac:dyDescent="0.35">
      <c r="A533" s="71"/>
      <c r="B533" s="71"/>
      <c r="C533" s="71"/>
      <c r="D533" s="71"/>
      <c r="E533" s="68"/>
      <c r="F533" s="68"/>
      <c r="G533" s="71"/>
      <c r="H533" s="71"/>
      <c r="I533" s="71"/>
      <c r="J533" s="71"/>
      <c r="K533" s="71"/>
      <c r="L533" s="71"/>
      <c r="M533" s="71"/>
      <c r="N533" s="71"/>
      <c r="O533" s="71"/>
    </row>
    <row r="534" spans="1:15" x14ac:dyDescent="0.35">
      <c r="A534" s="71"/>
      <c r="B534" s="71"/>
      <c r="C534" s="71"/>
      <c r="D534" s="71"/>
      <c r="E534" s="68"/>
      <c r="F534" s="68"/>
      <c r="G534" s="71"/>
      <c r="H534" s="71"/>
      <c r="I534" s="71"/>
      <c r="J534" s="71"/>
      <c r="K534" s="71"/>
      <c r="L534" s="71"/>
      <c r="M534" s="71"/>
      <c r="N534" s="71"/>
      <c r="O534" s="71"/>
    </row>
    <row r="535" spans="1:15" x14ac:dyDescent="0.35">
      <c r="A535" s="71"/>
      <c r="B535" s="71"/>
      <c r="C535" s="71"/>
      <c r="D535" s="71"/>
      <c r="E535" s="68"/>
      <c r="F535" s="68"/>
      <c r="G535" s="71"/>
      <c r="H535" s="71"/>
      <c r="I535" s="71"/>
      <c r="J535" s="71"/>
      <c r="K535" s="71"/>
      <c r="L535" s="71"/>
      <c r="M535" s="71"/>
      <c r="N535" s="71"/>
      <c r="O535" s="71"/>
    </row>
    <row r="536" spans="1:15" x14ac:dyDescent="0.35">
      <c r="A536" s="71"/>
      <c r="B536" s="71"/>
      <c r="C536" s="71"/>
      <c r="D536" s="71"/>
      <c r="E536" s="68"/>
      <c r="F536" s="68"/>
      <c r="G536" s="71"/>
      <c r="H536" s="71"/>
      <c r="I536" s="71"/>
      <c r="J536" s="71"/>
      <c r="K536" s="71"/>
      <c r="L536" s="71"/>
      <c r="M536" s="71"/>
      <c r="N536" s="71"/>
      <c r="O536" s="71"/>
    </row>
    <row r="537" spans="1:15" x14ac:dyDescent="0.35">
      <c r="A537" s="71"/>
      <c r="B537" s="71"/>
      <c r="C537" s="71"/>
      <c r="D537" s="71"/>
      <c r="E537" s="68"/>
      <c r="F537" s="68"/>
      <c r="G537" s="71"/>
      <c r="H537" s="71"/>
      <c r="I537" s="71"/>
      <c r="J537" s="71"/>
      <c r="K537" s="71"/>
      <c r="L537" s="71"/>
      <c r="M537" s="71"/>
      <c r="N537" s="71"/>
      <c r="O537" s="71"/>
    </row>
    <row r="538" spans="1:15" x14ac:dyDescent="0.35">
      <c r="A538" s="71"/>
      <c r="B538" s="71"/>
      <c r="C538" s="71"/>
      <c r="D538" s="71"/>
      <c r="E538" s="68"/>
      <c r="F538" s="68"/>
      <c r="G538" s="71"/>
      <c r="H538" s="71"/>
      <c r="I538" s="71"/>
      <c r="J538" s="71"/>
      <c r="K538" s="71"/>
      <c r="L538" s="71"/>
      <c r="M538" s="71"/>
      <c r="N538" s="71"/>
      <c r="O538" s="71"/>
    </row>
    <row r="539" spans="1:15" x14ac:dyDescent="0.35">
      <c r="A539" s="71"/>
      <c r="B539" s="71"/>
      <c r="C539" s="71"/>
      <c r="D539" s="71"/>
      <c r="E539" s="68"/>
      <c r="F539" s="68"/>
      <c r="G539" s="71"/>
      <c r="H539" s="71"/>
      <c r="I539" s="71"/>
      <c r="J539" s="71"/>
      <c r="K539" s="71"/>
      <c r="L539" s="71"/>
      <c r="M539" s="71"/>
      <c r="N539" s="71"/>
      <c r="O539" s="71"/>
    </row>
    <row r="540" spans="1:15" x14ac:dyDescent="0.35">
      <c r="A540" s="71"/>
      <c r="B540" s="71"/>
      <c r="C540" s="71"/>
      <c r="D540" s="71"/>
      <c r="E540" s="68"/>
      <c r="F540" s="68"/>
      <c r="G540" s="71"/>
      <c r="H540" s="71"/>
      <c r="I540" s="71"/>
      <c r="J540" s="71"/>
      <c r="K540" s="71"/>
      <c r="L540" s="71"/>
      <c r="M540" s="71"/>
      <c r="N540" s="71"/>
      <c r="O540" s="71"/>
    </row>
    <row r="541" spans="1:15" x14ac:dyDescent="0.35">
      <c r="A541" s="71"/>
      <c r="B541" s="71"/>
      <c r="C541" s="71"/>
      <c r="D541" s="71"/>
      <c r="E541" s="68"/>
      <c r="F541" s="68"/>
      <c r="G541" s="71"/>
      <c r="H541" s="71"/>
      <c r="I541" s="71"/>
      <c r="J541" s="71"/>
      <c r="K541" s="71"/>
      <c r="L541" s="71"/>
      <c r="M541" s="71"/>
      <c r="N541" s="71"/>
      <c r="O541" s="71"/>
    </row>
    <row r="542" spans="1:15" x14ac:dyDescent="0.35">
      <c r="A542" s="71"/>
      <c r="B542" s="71"/>
      <c r="C542" s="71"/>
      <c r="D542" s="71"/>
      <c r="E542" s="68"/>
      <c r="F542" s="68"/>
      <c r="G542" s="71"/>
      <c r="H542" s="71"/>
      <c r="I542" s="71"/>
      <c r="J542" s="71"/>
      <c r="K542" s="71"/>
      <c r="L542" s="71"/>
      <c r="M542" s="71"/>
      <c r="N542" s="71"/>
      <c r="O542" s="71"/>
    </row>
    <row r="543" spans="1:15" x14ac:dyDescent="0.35">
      <c r="A543" s="71"/>
      <c r="B543" s="71"/>
      <c r="C543" s="71"/>
      <c r="D543" s="71"/>
      <c r="E543" s="68"/>
      <c r="F543" s="68"/>
      <c r="G543" s="71"/>
      <c r="H543" s="71"/>
      <c r="I543" s="71"/>
      <c r="J543" s="71"/>
      <c r="K543" s="71"/>
      <c r="L543" s="71"/>
      <c r="M543" s="71"/>
      <c r="N543" s="71"/>
      <c r="O543" s="71"/>
    </row>
    <row r="544" spans="1:15" x14ac:dyDescent="0.35">
      <c r="A544" s="71"/>
      <c r="B544" s="71"/>
      <c r="C544" s="71"/>
      <c r="D544" s="71"/>
      <c r="E544" s="68"/>
      <c r="F544" s="68"/>
      <c r="G544" s="71"/>
      <c r="H544" s="71"/>
      <c r="I544" s="71"/>
      <c r="J544" s="71"/>
      <c r="K544" s="71"/>
      <c r="L544" s="71"/>
      <c r="M544" s="71"/>
      <c r="N544" s="71"/>
      <c r="O544" s="71"/>
    </row>
    <row r="545" spans="1:15" x14ac:dyDescent="0.35">
      <c r="A545" s="71"/>
      <c r="B545" s="71"/>
      <c r="C545" s="71"/>
      <c r="D545" s="71"/>
      <c r="E545" s="68"/>
      <c r="F545" s="68"/>
      <c r="G545" s="71"/>
      <c r="H545" s="71"/>
      <c r="I545" s="71"/>
      <c r="J545" s="71"/>
      <c r="K545" s="71"/>
      <c r="L545" s="71"/>
      <c r="M545" s="71"/>
      <c r="N545" s="71"/>
      <c r="O545" s="71"/>
    </row>
    <row r="546" spans="1:15" x14ac:dyDescent="0.35">
      <c r="A546" s="71"/>
      <c r="B546" s="71"/>
      <c r="C546" s="71"/>
      <c r="D546" s="71"/>
      <c r="E546" s="68"/>
      <c r="F546" s="68"/>
      <c r="G546" s="71"/>
      <c r="H546" s="71"/>
      <c r="I546" s="71"/>
      <c r="J546" s="71"/>
      <c r="K546" s="71"/>
      <c r="L546" s="71"/>
      <c r="M546" s="71"/>
      <c r="N546" s="71"/>
      <c r="O546" s="71"/>
    </row>
    <row r="547" spans="1:15" x14ac:dyDescent="0.35">
      <c r="A547" s="71"/>
      <c r="B547" s="71"/>
      <c r="C547" s="71"/>
      <c r="D547" s="71"/>
      <c r="E547" s="68"/>
      <c r="F547" s="68"/>
      <c r="G547" s="71"/>
      <c r="H547" s="71"/>
      <c r="I547" s="71"/>
      <c r="J547" s="71"/>
      <c r="K547" s="71"/>
      <c r="L547" s="71"/>
      <c r="M547" s="71"/>
      <c r="N547" s="71"/>
      <c r="O547" s="71"/>
    </row>
    <row r="548" spans="1:15" x14ac:dyDescent="0.35">
      <c r="A548" s="71"/>
      <c r="B548" s="71"/>
      <c r="C548" s="71"/>
      <c r="D548" s="71"/>
      <c r="E548" s="68"/>
      <c r="F548" s="68"/>
      <c r="G548" s="71"/>
      <c r="H548" s="71"/>
      <c r="I548" s="71"/>
      <c r="J548" s="71"/>
      <c r="K548" s="71"/>
      <c r="L548" s="71"/>
      <c r="M548" s="71"/>
      <c r="N548" s="71"/>
      <c r="O548" s="71"/>
    </row>
    <row r="549" spans="1:15" x14ac:dyDescent="0.35">
      <c r="A549" s="71"/>
      <c r="B549" s="71"/>
      <c r="C549" s="71"/>
      <c r="D549" s="71"/>
      <c r="E549" s="68"/>
      <c r="F549" s="68"/>
      <c r="G549" s="71"/>
      <c r="H549" s="71"/>
      <c r="I549" s="71"/>
      <c r="J549" s="71"/>
      <c r="K549" s="71"/>
      <c r="L549" s="71"/>
      <c r="M549" s="71"/>
      <c r="N549" s="71"/>
      <c r="O549" s="71"/>
    </row>
    <row r="550" spans="1:15" x14ac:dyDescent="0.35">
      <c r="A550" s="71"/>
      <c r="B550" s="71"/>
      <c r="C550" s="71"/>
      <c r="D550" s="71"/>
      <c r="E550" s="68"/>
      <c r="F550" s="68"/>
      <c r="G550" s="71"/>
      <c r="H550" s="71"/>
      <c r="I550" s="71"/>
      <c r="J550" s="71"/>
      <c r="K550" s="71"/>
      <c r="L550" s="71"/>
      <c r="M550" s="71"/>
      <c r="N550" s="71"/>
      <c r="O550" s="71"/>
    </row>
    <row r="551" spans="1:15" x14ac:dyDescent="0.35">
      <c r="A551" s="71"/>
      <c r="B551" s="71"/>
      <c r="C551" s="71"/>
      <c r="D551" s="71"/>
      <c r="E551" s="68"/>
      <c r="F551" s="68"/>
      <c r="G551" s="71"/>
      <c r="H551" s="71"/>
      <c r="I551" s="71"/>
      <c r="J551" s="71"/>
      <c r="K551" s="71"/>
      <c r="L551" s="71"/>
      <c r="M551" s="71"/>
      <c r="N551" s="71"/>
      <c r="O551" s="71"/>
    </row>
    <row r="552" spans="1:15" x14ac:dyDescent="0.35">
      <c r="A552" s="71"/>
      <c r="B552" s="71"/>
      <c r="C552" s="71"/>
      <c r="D552" s="71"/>
      <c r="E552" s="68"/>
      <c r="F552" s="68"/>
      <c r="G552" s="71"/>
      <c r="H552" s="71"/>
      <c r="I552" s="71"/>
      <c r="J552" s="71"/>
      <c r="K552" s="71"/>
      <c r="L552" s="71"/>
      <c r="M552" s="71"/>
      <c r="N552" s="71"/>
      <c r="O552" s="71"/>
    </row>
    <row r="553" spans="1:15" x14ac:dyDescent="0.35">
      <c r="A553" s="71"/>
      <c r="B553" s="71"/>
      <c r="C553" s="71"/>
      <c r="D553" s="71"/>
      <c r="E553" s="68"/>
      <c r="F553" s="68"/>
      <c r="G553" s="71"/>
      <c r="H553" s="71"/>
      <c r="I553" s="71"/>
      <c r="J553" s="71"/>
      <c r="K553" s="71"/>
      <c r="L553" s="71"/>
      <c r="M553" s="71"/>
      <c r="N553" s="71"/>
      <c r="O553" s="71"/>
    </row>
    <row r="554" spans="1:15" x14ac:dyDescent="0.35">
      <c r="A554" s="71"/>
      <c r="B554" s="71"/>
      <c r="C554" s="71"/>
      <c r="D554" s="71"/>
      <c r="E554" s="68"/>
      <c r="F554" s="68"/>
      <c r="G554" s="71"/>
      <c r="H554" s="71"/>
      <c r="I554" s="71"/>
      <c r="J554" s="71"/>
      <c r="K554" s="71"/>
      <c r="L554" s="71"/>
      <c r="M554" s="71"/>
      <c r="N554" s="71"/>
      <c r="O554" s="71"/>
    </row>
    <row r="555" spans="1:15" x14ac:dyDescent="0.35">
      <c r="A555" s="71"/>
      <c r="B555" s="71"/>
      <c r="C555" s="71"/>
      <c r="D555" s="71"/>
      <c r="E555" s="68"/>
      <c r="F555" s="68"/>
      <c r="G555" s="71"/>
      <c r="H555" s="71"/>
      <c r="I555" s="71"/>
      <c r="J555" s="71"/>
      <c r="K555" s="71"/>
      <c r="L555" s="71"/>
      <c r="M555" s="71"/>
      <c r="N555" s="71"/>
      <c r="O555" s="71"/>
    </row>
    <row r="556" spans="1:15" x14ac:dyDescent="0.35">
      <c r="A556" s="71"/>
      <c r="B556" s="71"/>
      <c r="C556" s="71"/>
      <c r="D556" s="71"/>
      <c r="E556" s="68"/>
      <c r="F556" s="68"/>
      <c r="G556" s="71"/>
      <c r="H556" s="71"/>
      <c r="I556" s="71"/>
      <c r="J556" s="71"/>
      <c r="K556" s="71"/>
      <c r="L556" s="71"/>
      <c r="M556" s="71"/>
      <c r="N556" s="71"/>
      <c r="O556" s="71"/>
    </row>
    <row r="557" spans="1:15" x14ac:dyDescent="0.35">
      <c r="A557" s="71"/>
      <c r="B557" s="71"/>
      <c r="C557" s="71"/>
      <c r="D557" s="71"/>
      <c r="E557" s="68"/>
      <c r="F557" s="68"/>
      <c r="G557" s="71"/>
      <c r="H557" s="71"/>
      <c r="I557" s="71"/>
      <c r="J557" s="71"/>
      <c r="K557" s="71"/>
      <c r="L557" s="71"/>
      <c r="M557" s="71"/>
      <c r="N557" s="71"/>
      <c r="O557" s="71"/>
    </row>
    <row r="558" spans="1:15" x14ac:dyDescent="0.35">
      <c r="A558" s="71"/>
      <c r="B558" s="71"/>
      <c r="C558" s="71"/>
      <c r="D558" s="71"/>
      <c r="E558" s="68"/>
      <c r="F558" s="68"/>
      <c r="G558" s="71"/>
      <c r="H558" s="71"/>
      <c r="I558" s="71"/>
      <c r="J558" s="71"/>
      <c r="K558" s="71"/>
      <c r="L558" s="71"/>
      <c r="M558" s="71"/>
      <c r="N558" s="71"/>
      <c r="O558" s="71"/>
    </row>
    <row r="559" spans="1:15" x14ac:dyDescent="0.35">
      <c r="A559" s="71"/>
      <c r="B559" s="71"/>
      <c r="C559" s="71"/>
      <c r="D559" s="71"/>
      <c r="E559" s="68"/>
      <c r="F559" s="68"/>
      <c r="G559" s="71"/>
      <c r="H559" s="71"/>
      <c r="I559" s="71"/>
      <c r="J559" s="71"/>
      <c r="K559" s="71"/>
      <c r="L559" s="71"/>
      <c r="M559" s="71"/>
      <c r="N559" s="71"/>
      <c r="O559" s="71"/>
    </row>
    <row r="560" spans="1:15" x14ac:dyDescent="0.35">
      <c r="A560" s="71"/>
      <c r="B560" s="71"/>
      <c r="C560" s="71"/>
      <c r="D560" s="71"/>
      <c r="E560" s="68"/>
      <c r="F560" s="68"/>
      <c r="G560" s="71"/>
      <c r="H560" s="71"/>
      <c r="I560" s="71"/>
      <c r="J560" s="71"/>
      <c r="K560" s="71"/>
      <c r="L560" s="71"/>
      <c r="M560" s="71"/>
      <c r="N560" s="71"/>
      <c r="O560" s="71"/>
    </row>
    <row r="561" spans="1:15" x14ac:dyDescent="0.35">
      <c r="A561" s="71"/>
      <c r="B561" s="71"/>
      <c r="C561" s="71"/>
      <c r="D561" s="71"/>
      <c r="E561" s="68"/>
      <c r="F561" s="68"/>
      <c r="G561" s="71"/>
      <c r="H561" s="71"/>
      <c r="I561" s="71"/>
      <c r="J561" s="71"/>
      <c r="K561" s="71"/>
      <c r="L561" s="71"/>
      <c r="M561" s="71"/>
      <c r="N561" s="71"/>
      <c r="O561" s="71"/>
    </row>
    <row r="562" spans="1:15" x14ac:dyDescent="0.35">
      <c r="A562" s="71"/>
      <c r="B562" s="71"/>
      <c r="C562" s="71"/>
      <c r="D562" s="71"/>
      <c r="E562" s="68"/>
      <c r="F562" s="68"/>
      <c r="G562" s="71"/>
      <c r="H562" s="71"/>
      <c r="I562" s="71"/>
      <c r="J562" s="71"/>
      <c r="K562" s="71"/>
      <c r="L562" s="71"/>
      <c r="M562" s="71"/>
      <c r="N562" s="71"/>
      <c r="O562" s="71"/>
    </row>
    <row r="563" spans="1:15" x14ac:dyDescent="0.35">
      <c r="A563" s="71"/>
      <c r="B563" s="71"/>
      <c r="C563" s="71"/>
      <c r="D563" s="71"/>
      <c r="E563" s="68"/>
      <c r="F563" s="68"/>
      <c r="G563" s="71"/>
      <c r="H563" s="71"/>
      <c r="I563" s="71"/>
      <c r="J563" s="71"/>
      <c r="K563" s="71"/>
      <c r="L563" s="71"/>
      <c r="M563" s="71"/>
      <c r="N563" s="71"/>
      <c r="O563" s="71"/>
    </row>
    <row r="564" spans="1:15" x14ac:dyDescent="0.35">
      <c r="A564" s="71"/>
      <c r="B564" s="71"/>
      <c r="C564" s="71"/>
      <c r="D564" s="71"/>
      <c r="E564" s="68"/>
      <c r="F564" s="68"/>
      <c r="G564" s="71"/>
      <c r="H564" s="71"/>
      <c r="I564" s="71"/>
      <c r="J564" s="71"/>
      <c r="K564" s="71"/>
      <c r="L564" s="71"/>
      <c r="M564" s="71"/>
      <c r="N564" s="71"/>
      <c r="O564" s="71"/>
    </row>
    <row r="565" spans="1:15" x14ac:dyDescent="0.35">
      <c r="A565" s="71"/>
      <c r="B565" s="71"/>
      <c r="C565" s="71"/>
      <c r="D565" s="71"/>
      <c r="E565" s="68"/>
      <c r="F565" s="68"/>
      <c r="G565" s="71"/>
      <c r="H565" s="71"/>
      <c r="I565" s="71"/>
      <c r="J565" s="71"/>
      <c r="K565" s="71"/>
      <c r="L565" s="71"/>
      <c r="M565" s="71"/>
      <c r="N565" s="71"/>
      <c r="O565" s="71"/>
    </row>
    <row r="566" spans="1:15" x14ac:dyDescent="0.35">
      <c r="A566" s="71"/>
      <c r="B566" s="71"/>
      <c r="C566" s="71"/>
      <c r="D566" s="71"/>
      <c r="E566" s="68"/>
      <c r="F566" s="68"/>
      <c r="G566" s="71"/>
      <c r="H566" s="71"/>
      <c r="I566" s="71"/>
      <c r="J566" s="71"/>
      <c r="K566" s="71"/>
      <c r="L566" s="71"/>
      <c r="M566" s="71"/>
      <c r="N566" s="71"/>
      <c r="O566" s="71"/>
    </row>
    <row r="567" spans="1:15" x14ac:dyDescent="0.35">
      <c r="A567" s="71"/>
      <c r="B567" s="71"/>
      <c r="C567" s="71"/>
      <c r="D567" s="71"/>
      <c r="E567" s="68"/>
      <c r="F567" s="68"/>
      <c r="G567" s="71"/>
      <c r="H567" s="71"/>
      <c r="I567" s="71"/>
      <c r="J567" s="71"/>
      <c r="K567" s="71"/>
      <c r="L567" s="71"/>
      <c r="M567" s="71"/>
      <c r="N567" s="71"/>
      <c r="O567" s="71"/>
    </row>
    <row r="568" spans="1:15" x14ac:dyDescent="0.35">
      <c r="A568" s="71"/>
      <c r="B568" s="71"/>
      <c r="C568" s="71"/>
      <c r="D568" s="71"/>
      <c r="E568" s="68"/>
      <c r="F568" s="68"/>
      <c r="G568" s="71"/>
      <c r="H568" s="71"/>
      <c r="I568" s="71"/>
      <c r="J568" s="71"/>
      <c r="K568" s="71"/>
      <c r="L568" s="71"/>
      <c r="M568" s="71"/>
      <c r="N568" s="71"/>
      <c r="O568" s="71"/>
    </row>
    <row r="569" spans="1:15" x14ac:dyDescent="0.35">
      <c r="A569" s="71"/>
      <c r="B569" s="71"/>
      <c r="C569" s="71"/>
      <c r="D569" s="71"/>
      <c r="E569" s="68"/>
      <c r="F569" s="68"/>
      <c r="G569" s="71"/>
      <c r="H569" s="71"/>
      <c r="I569" s="71"/>
      <c r="J569" s="71"/>
      <c r="K569" s="71"/>
      <c r="L569" s="71"/>
      <c r="M569" s="71"/>
      <c r="N569" s="71"/>
      <c r="O569" s="71"/>
    </row>
    <row r="570" spans="1:15" x14ac:dyDescent="0.35">
      <c r="A570" s="71"/>
      <c r="B570" s="71"/>
      <c r="C570" s="71"/>
      <c r="D570" s="71"/>
      <c r="E570" s="68"/>
      <c r="F570" s="68"/>
      <c r="G570" s="71"/>
      <c r="H570" s="71"/>
      <c r="I570" s="71"/>
      <c r="J570" s="71"/>
      <c r="K570" s="71"/>
      <c r="L570" s="71"/>
      <c r="M570" s="71"/>
      <c r="N570" s="71"/>
      <c r="O570" s="71"/>
    </row>
    <row r="571" spans="1:15" x14ac:dyDescent="0.35">
      <c r="A571" s="71"/>
      <c r="B571" s="71"/>
      <c r="C571" s="71"/>
      <c r="D571" s="71"/>
      <c r="E571" s="68"/>
      <c r="F571" s="68"/>
      <c r="G571" s="71"/>
      <c r="H571" s="71"/>
      <c r="I571" s="71"/>
      <c r="J571" s="71"/>
      <c r="K571" s="71"/>
      <c r="L571" s="71"/>
      <c r="M571" s="71"/>
      <c r="N571" s="71"/>
      <c r="O571" s="71"/>
    </row>
    <row r="572" spans="1:15" x14ac:dyDescent="0.35">
      <c r="A572" s="71"/>
      <c r="B572" s="71"/>
      <c r="C572" s="71"/>
      <c r="D572" s="71"/>
      <c r="E572" s="68"/>
      <c r="F572" s="68"/>
      <c r="G572" s="71"/>
      <c r="H572" s="71"/>
      <c r="I572" s="71"/>
      <c r="J572" s="71"/>
      <c r="K572" s="71"/>
      <c r="L572" s="71"/>
      <c r="M572" s="71"/>
      <c r="N572" s="71"/>
      <c r="O572" s="71"/>
    </row>
    <row r="573" spans="1:15" x14ac:dyDescent="0.35">
      <c r="A573" s="71"/>
      <c r="B573" s="71"/>
      <c r="C573" s="71"/>
      <c r="D573" s="71"/>
      <c r="E573" s="68"/>
      <c r="F573" s="68"/>
      <c r="G573" s="71"/>
      <c r="H573" s="71"/>
      <c r="I573" s="71"/>
      <c r="J573" s="71"/>
      <c r="K573" s="71"/>
      <c r="L573" s="71"/>
      <c r="M573" s="71"/>
      <c r="N573" s="71"/>
      <c r="O573" s="71"/>
    </row>
    <row r="574" spans="1:15" x14ac:dyDescent="0.35">
      <c r="A574" s="71"/>
      <c r="B574" s="71"/>
      <c r="C574" s="71"/>
      <c r="D574" s="71"/>
      <c r="E574" s="68"/>
      <c r="F574" s="68"/>
      <c r="G574" s="71"/>
      <c r="H574" s="71"/>
      <c r="I574" s="71"/>
      <c r="J574" s="71"/>
      <c r="K574" s="71"/>
      <c r="L574" s="71"/>
      <c r="M574" s="71"/>
      <c r="N574" s="71"/>
      <c r="O574" s="71"/>
    </row>
    <row r="575" spans="1:15" x14ac:dyDescent="0.35">
      <c r="A575" s="71"/>
      <c r="B575" s="71"/>
      <c r="C575" s="71"/>
      <c r="D575" s="71"/>
      <c r="E575" s="68"/>
      <c r="F575" s="68"/>
      <c r="G575" s="71"/>
      <c r="H575" s="71"/>
      <c r="I575" s="71"/>
      <c r="J575" s="71"/>
      <c r="K575" s="71"/>
      <c r="L575" s="71"/>
      <c r="M575" s="71"/>
      <c r="N575" s="71"/>
      <c r="O575" s="71"/>
    </row>
    <row r="576" spans="1:15" x14ac:dyDescent="0.35">
      <c r="A576" s="71"/>
      <c r="B576" s="71"/>
      <c r="C576" s="71"/>
      <c r="D576" s="71"/>
      <c r="E576" s="68"/>
      <c r="F576" s="68"/>
      <c r="G576" s="71"/>
      <c r="H576" s="71"/>
      <c r="I576" s="71"/>
      <c r="J576" s="71"/>
      <c r="K576" s="71"/>
      <c r="L576" s="71"/>
      <c r="M576" s="71"/>
      <c r="N576" s="71"/>
      <c r="O576" s="71"/>
    </row>
    <row r="577" spans="1:15" x14ac:dyDescent="0.35">
      <c r="A577" s="71"/>
      <c r="B577" s="71"/>
      <c r="C577" s="71"/>
      <c r="D577" s="71"/>
      <c r="E577" s="68"/>
      <c r="F577" s="68"/>
      <c r="G577" s="71"/>
      <c r="H577" s="71"/>
      <c r="I577" s="71"/>
      <c r="J577" s="71"/>
      <c r="K577" s="71"/>
      <c r="L577" s="71"/>
      <c r="M577" s="71"/>
      <c r="N577" s="71"/>
      <c r="O577" s="71"/>
    </row>
    <row r="578" spans="1:15" x14ac:dyDescent="0.35">
      <c r="A578" s="71"/>
      <c r="B578" s="71"/>
      <c r="C578" s="71"/>
      <c r="D578" s="71"/>
      <c r="E578" s="68"/>
      <c r="F578" s="68"/>
      <c r="G578" s="71"/>
      <c r="H578" s="71"/>
      <c r="I578" s="71"/>
      <c r="J578" s="71"/>
      <c r="K578" s="71"/>
      <c r="L578" s="71"/>
      <c r="M578" s="71"/>
      <c r="N578" s="71"/>
      <c r="O578" s="71"/>
    </row>
    <row r="579" spans="1:15" x14ac:dyDescent="0.35">
      <c r="A579" s="71"/>
      <c r="B579" s="71"/>
      <c r="C579" s="71"/>
      <c r="D579" s="71"/>
      <c r="E579" s="68"/>
      <c r="F579" s="68"/>
      <c r="G579" s="71"/>
      <c r="H579" s="71"/>
      <c r="I579" s="71"/>
      <c r="J579" s="71"/>
      <c r="K579" s="71"/>
      <c r="L579" s="71"/>
      <c r="M579" s="71"/>
      <c r="N579" s="71"/>
      <c r="O579" s="71"/>
    </row>
    <row r="580" spans="1:15" x14ac:dyDescent="0.35">
      <c r="A580" s="71"/>
      <c r="B580" s="71"/>
      <c r="C580" s="71"/>
      <c r="D580" s="71"/>
      <c r="E580" s="68"/>
      <c r="F580" s="68"/>
      <c r="G580" s="71"/>
      <c r="H580" s="71"/>
      <c r="I580" s="71"/>
      <c r="J580" s="71"/>
      <c r="K580" s="71"/>
      <c r="L580" s="71"/>
      <c r="M580" s="71"/>
      <c r="N580" s="71"/>
      <c r="O580" s="71"/>
    </row>
    <row r="581" spans="1:15" x14ac:dyDescent="0.35">
      <c r="A581" s="71"/>
      <c r="B581" s="71"/>
      <c r="C581" s="71"/>
      <c r="D581" s="71"/>
      <c r="E581" s="68"/>
      <c r="F581" s="68"/>
      <c r="G581" s="71"/>
      <c r="H581" s="71"/>
      <c r="I581" s="71"/>
      <c r="J581" s="71"/>
      <c r="K581" s="71"/>
      <c r="L581" s="71"/>
      <c r="M581" s="71"/>
      <c r="N581" s="71"/>
      <c r="O581" s="71"/>
    </row>
    <row r="582" spans="1:15" x14ac:dyDescent="0.35">
      <c r="A582" s="71"/>
      <c r="B582" s="71"/>
      <c r="C582" s="71"/>
      <c r="D582" s="71"/>
      <c r="E582" s="68"/>
      <c r="F582" s="68"/>
      <c r="G582" s="71"/>
      <c r="H582" s="71"/>
      <c r="I582" s="71"/>
      <c r="J582" s="71"/>
      <c r="K582" s="71"/>
      <c r="L582" s="71"/>
      <c r="M582" s="71"/>
      <c r="N582" s="71"/>
      <c r="O582" s="71"/>
    </row>
    <row r="583" spans="1:15" x14ac:dyDescent="0.35">
      <c r="A583" s="71"/>
      <c r="B583" s="71"/>
      <c r="C583" s="71"/>
      <c r="D583" s="71"/>
      <c r="E583" s="68"/>
      <c r="F583" s="68"/>
      <c r="G583" s="71"/>
      <c r="H583" s="71"/>
      <c r="I583" s="71"/>
      <c r="J583" s="71"/>
      <c r="K583" s="71"/>
      <c r="L583" s="71"/>
      <c r="M583" s="71"/>
      <c r="N583" s="71"/>
      <c r="O583" s="71"/>
    </row>
    <row r="584" spans="1:15" x14ac:dyDescent="0.35">
      <c r="A584" s="71"/>
      <c r="B584" s="71"/>
      <c r="C584" s="71"/>
      <c r="D584" s="71"/>
      <c r="E584" s="68"/>
      <c r="F584" s="68"/>
      <c r="G584" s="71"/>
      <c r="H584" s="71"/>
      <c r="I584" s="71"/>
      <c r="J584" s="71"/>
      <c r="K584" s="71"/>
      <c r="L584" s="71"/>
      <c r="M584" s="71"/>
      <c r="N584" s="71"/>
      <c r="O584" s="71"/>
    </row>
    <row r="585" spans="1:15" x14ac:dyDescent="0.35">
      <c r="A585" s="71"/>
      <c r="B585" s="71"/>
      <c r="C585" s="71"/>
      <c r="D585" s="71"/>
      <c r="E585" s="68"/>
      <c r="F585" s="68"/>
      <c r="G585" s="71"/>
      <c r="H585" s="71"/>
      <c r="I585" s="71"/>
      <c r="J585" s="71"/>
      <c r="K585" s="71"/>
      <c r="L585" s="71"/>
      <c r="M585" s="71"/>
      <c r="N585" s="71"/>
      <c r="O585" s="71"/>
    </row>
    <row r="586" spans="1:15" x14ac:dyDescent="0.35">
      <c r="A586" s="71"/>
      <c r="B586" s="71"/>
      <c r="C586" s="71"/>
      <c r="D586" s="71"/>
      <c r="E586" s="68"/>
      <c r="F586" s="68"/>
      <c r="G586" s="71"/>
      <c r="H586" s="71"/>
      <c r="I586" s="71"/>
      <c r="J586" s="71"/>
      <c r="K586" s="71"/>
      <c r="L586" s="71"/>
      <c r="M586" s="71"/>
      <c r="N586" s="71"/>
      <c r="O586" s="71"/>
    </row>
    <row r="587" spans="1:15" x14ac:dyDescent="0.35">
      <c r="A587" s="71"/>
      <c r="B587" s="71"/>
      <c r="C587" s="71"/>
      <c r="D587" s="71"/>
      <c r="E587" s="68"/>
      <c r="F587" s="68"/>
      <c r="G587" s="71"/>
      <c r="H587" s="71"/>
      <c r="I587" s="71"/>
      <c r="J587" s="71"/>
      <c r="K587" s="71"/>
      <c r="L587" s="71"/>
      <c r="M587" s="71"/>
      <c r="N587" s="71"/>
      <c r="O587" s="71"/>
    </row>
    <row r="588" spans="1:15" x14ac:dyDescent="0.35">
      <c r="A588" s="71"/>
      <c r="B588" s="71"/>
      <c r="C588" s="71"/>
      <c r="D588" s="71"/>
      <c r="E588" s="68"/>
      <c r="F588" s="68"/>
      <c r="G588" s="71"/>
      <c r="H588" s="71"/>
      <c r="I588" s="71"/>
      <c r="J588" s="71"/>
      <c r="K588" s="71"/>
      <c r="L588" s="71"/>
      <c r="M588" s="71"/>
      <c r="N588" s="71"/>
      <c r="O588" s="71"/>
    </row>
    <row r="589" spans="1:15" x14ac:dyDescent="0.35">
      <c r="A589" s="71"/>
      <c r="B589" s="71"/>
      <c r="C589" s="71"/>
      <c r="D589" s="71"/>
      <c r="E589" s="68"/>
      <c r="F589" s="68"/>
      <c r="G589" s="71"/>
      <c r="H589" s="71"/>
      <c r="I589" s="71"/>
      <c r="J589" s="71"/>
      <c r="K589" s="71"/>
      <c r="L589" s="71"/>
      <c r="M589" s="71"/>
      <c r="N589" s="71"/>
      <c r="O589" s="71"/>
    </row>
    <row r="590" spans="1:15" x14ac:dyDescent="0.35">
      <c r="A590" s="71"/>
      <c r="B590" s="71"/>
      <c r="C590" s="71"/>
      <c r="D590" s="71"/>
      <c r="E590" s="68"/>
      <c r="F590" s="68"/>
      <c r="G590" s="71"/>
      <c r="H590" s="71"/>
      <c r="I590" s="71"/>
      <c r="J590" s="71"/>
      <c r="K590" s="71"/>
      <c r="L590" s="71"/>
      <c r="M590" s="71"/>
      <c r="N590" s="71"/>
      <c r="O590" s="71"/>
    </row>
    <row r="591" spans="1:15" x14ac:dyDescent="0.35">
      <c r="A591" s="71"/>
      <c r="B591" s="71"/>
      <c r="C591" s="71"/>
      <c r="D591" s="71"/>
      <c r="E591" s="68"/>
      <c r="F591" s="68"/>
      <c r="G591" s="71"/>
      <c r="H591" s="71"/>
      <c r="I591" s="71"/>
      <c r="J591" s="71"/>
      <c r="K591" s="71"/>
      <c r="L591" s="71"/>
      <c r="M591" s="71"/>
      <c r="N591" s="71"/>
      <c r="O591" s="71"/>
    </row>
    <row r="592" spans="1:15" x14ac:dyDescent="0.35">
      <c r="A592" s="71"/>
      <c r="B592" s="71"/>
      <c r="C592" s="71"/>
      <c r="D592" s="71"/>
      <c r="E592" s="68"/>
      <c r="F592" s="68"/>
      <c r="G592" s="71"/>
      <c r="H592" s="71"/>
      <c r="I592" s="71"/>
      <c r="J592" s="71"/>
      <c r="K592" s="71"/>
      <c r="L592" s="71"/>
      <c r="M592" s="71"/>
      <c r="N592" s="71"/>
      <c r="O592" s="71"/>
    </row>
    <row r="593" spans="1:15" x14ac:dyDescent="0.35">
      <c r="A593" s="71"/>
      <c r="B593" s="71"/>
      <c r="C593" s="71"/>
      <c r="D593" s="71"/>
      <c r="E593" s="68"/>
      <c r="F593" s="68"/>
      <c r="G593" s="71"/>
      <c r="H593" s="71"/>
      <c r="I593" s="71"/>
      <c r="J593" s="71"/>
      <c r="K593" s="71"/>
      <c r="L593" s="71"/>
      <c r="M593" s="71"/>
      <c r="N593" s="71"/>
      <c r="O593" s="71"/>
    </row>
    <row r="594" spans="1:15" x14ac:dyDescent="0.35">
      <c r="A594" s="71"/>
      <c r="B594" s="71"/>
      <c r="C594" s="71"/>
      <c r="D594" s="71"/>
      <c r="E594" s="68"/>
      <c r="F594" s="68"/>
      <c r="G594" s="71"/>
      <c r="H594" s="71"/>
      <c r="I594" s="71"/>
      <c r="J594" s="71"/>
      <c r="K594" s="71"/>
      <c r="L594" s="71"/>
      <c r="M594" s="71"/>
      <c r="N594" s="71"/>
      <c r="O594" s="71"/>
    </row>
    <row r="595" spans="1:15" x14ac:dyDescent="0.35">
      <c r="A595" s="71"/>
      <c r="B595" s="71"/>
      <c r="C595" s="71"/>
      <c r="D595" s="71"/>
      <c r="E595" s="68"/>
      <c r="F595" s="68"/>
      <c r="G595" s="71"/>
      <c r="H595" s="71"/>
      <c r="I595" s="71"/>
      <c r="J595" s="71"/>
      <c r="K595" s="71"/>
      <c r="L595" s="71"/>
      <c r="M595" s="71"/>
      <c r="N595" s="71"/>
      <c r="O595" s="71"/>
    </row>
    <row r="596" spans="1:15" x14ac:dyDescent="0.35">
      <c r="A596" s="71"/>
      <c r="B596" s="71"/>
      <c r="C596" s="71"/>
      <c r="D596" s="71"/>
      <c r="E596" s="68"/>
      <c r="F596" s="68"/>
      <c r="G596" s="71"/>
      <c r="H596" s="71"/>
      <c r="I596" s="71"/>
      <c r="J596" s="71"/>
      <c r="K596" s="71"/>
      <c r="L596" s="71"/>
      <c r="M596" s="71"/>
      <c r="N596" s="71"/>
      <c r="O596" s="71"/>
    </row>
    <row r="597" spans="1:15" x14ac:dyDescent="0.35">
      <c r="A597" s="71"/>
      <c r="B597" s="71"/>
      <c r="C597" s="71"/>
      <c r="D597" s="71"/>
      <c r="E597" s="68"/>
      <c r="F597" s="68"/>
      <c r="G597" s="71"/>
      <c r="H597" s="71"/>
      <c r="I597" s="71"/>
      <c r="J597" s="71"/>
      <c r="K597" s="71"/>
      <c r="L597" s="71"/>
      <c r="M597" s="71"/>
      <c r="N597" s="71"/>
      <c r="O597" s="71"/>
    </row>
    <row r="598" spans="1:15" x14ac:dyDescent="0.35">
      <c r="A598" s="71"/>
      <c r="B598" s="71"/>
      <c r="C598" s="71"/>
      <c r="D598" s="71"/>
      <c r="E598" s="68"/>
      <c r="F598" s="68"/>
      <c r="G598" s="71"/>
      <c r="H598" s="71"/>
      <c r="I598" s="71"/>
      <c r="J598" s="71"/>
      <c r="K598" s="71"/>
      <c r="L598" s="71"/>
      <c r="M598" s="71"/>
      <c r="N598" s="71"/>
      <c r="O598" s="71"/>
    </row>
    <row r="599" spans="1:15" x14ac:dyDescent="0.35">
      <c r="A599" s="71"/>
      <c r="B599" s="71"/>
      <c r="C599" s="71"/>
      <c r="D599" s="71"/>
      <c r="E599" s="68"/>
      <c r="F599" s="68"/>
      <c r="G599" s="71"/>
      <c r="H599" s="71"/>
      <c r="I599" s="71"/>
      <c r="J599" s="71"/>
      <c r="K599" s="71"/>
      <c r="L599" s="71"/>
      <c r="M599" s="71"/>
      <c r="N599" s="71"/>
      <c r="O599" s="71"/>
    </row>
    <row r="600" spans="1:15" x14ac:dyDescent="0.35">
      <c r="A600" s="71"/>
      <c r="B600" s="71"/>
      <c r="C600" s="71"/>
      <c r="D600" s="71"/>
      <c r="E600" s="68"/>
      <c r="F600" s="68"/>
      <c r="G600" s="71"/>
      <c r="H600" s="71"/>
      <c r="I600" s="71"/>
      <c r="J600" s="71"/>
      <c r="K600" s="71"/>
      <c r="L600" s="71"/>
      <c r="M600" s="71"/>
      <c r="N600" s="71"/>
      <c r="O600" s="71"/>
    </row>
    <row r="601" spans="1:15" x14ac:dyDescent="0.35">
      <c r="A601" s="71"/>
      <c r="B601" s="71"/>
      <c r="C601" s="71"/>
      <c r="D601" s="71"/>
      <c r="E601" s="68"/>
      <c r="F601" s="68"/>
      <c r="G601" s="71"/>
      <c r="H601" s="71"/>
      <c r="I601" s="71"/>
      <c r="J601" s="71"/>
      <c r="K601" s="71"/>
      <c r="L601" s="71"/>
      <c r="M601" s="71"/>
      <c r="N601" s="71"/>
      <c r="O601" s="71"/>
    </row>
    <row r="602" spans="1:15" x14ac:dyDescent="0.35">
      <c r="A602" s="71"/>
      <c r="B602" s="71"/>
      <c r="C602" s="71"/>
      <c r="D602" s="71"/>
      <c r="E602" s="68"/>
      <c r="F602" s="68"/>
      <c r="G602" s="71"/>
      <c r="H602" s="71"/>
      <c r="I602" s="71"/>
      <c r="J602" s="71"/>
      <c r="K602" s="71"/>
      <c r="L602" s="71"/>
      <c r="M602" s="71"/>
      <c r="N602" s="71"/>
      <c r="O602" s="71"/>
    </row>
    <row r="603" spans="1:15" x14ac:dyDescent="0.35">
      <c r="A603" s="71"/>
      <c r="B603" s="71"/>
      <c r="C603" s="71"/>
      <c r="D603" s="71"/>
      <c r="E603" s="68"/>
      <c r="F603" s="68"/>
      <c r="G603" s="71"/>
      <c r="H603" s="71"/>
      <c r="I603" s="71"/>
      <c r="J603" s="71"/>
      <c r="K603" s="71"/>
      <c r="L603" s="71"/>
      <c r="M603" s="71"/>
      <c r="N603" s="71"/>
      <c r="O603" s="71"/>
    </row>
    <row r="604" spans="1:15" x14ac:dyDescent="0.35">
      <c r="A604" s="71"/>
      <c r="B604" s="71"/>
      <c r="C604" s="71"/>
      <c r="D604" s="71"/>
      <c r="E604" s="68"/>
      <c r="F604" s="68"/>
      <c r="G604" s="71"/>
      <c r="H604" s="71"/>
      <c r="I604" s="71"/>
      <c r="J604" s="71"/>
      <c r="K604" s="71"/>
      <c r="L604" s="71"/>
      <c r="M604" s="71"/>
      <c r="N604" s="71"/>
      <c r="O604" s="71"/>
    </row>
    <row r="605" spans="1:15" x14ac:dyDescent="0.35">
      <c r="A605" s="71"/>
      <c r="B605" s="71"/>
      <c r="C605" s="71"/>
      <c r="D605" s="71"/>
      <c r="E605" s="68"/>
      <c r="F605" s="68"/>
      <c r="G605" s="71"/>
      <c r="H605" s="71"/>
      <c r="I605" s="71"/>
      <c r="J605" s="71"/>
      <c r="K605" s="71"/>
      <c r="L605" s="71"/>
      <c r="M605" s="71"/>
      <c r="N605" s="71"/>
      <c r="O605" s="71"/>
    </row>
    <row r="606" spans="1:15" x14ac:dyDescent="0.35">
      <c r="A606" s="71"/>
      <c r="B606" s="71"/>
      <c r="C606" s="71"/>
      <c r="D606" s="71"/>
      <c r="E606" s="68"/>
      <c r="F606" s="68"/>
      <c r="G606" s="71"/>
      <c r="H606" s="71"/>
      <c r="I606" s="71"/>
      <c r="J606" s="71"/>
      <c r="K606" s="71"/>
      <c r="L606" s="71"/>
      <c r="M606" s="71"/>
      <c r="N606" s="71"/>
      <c r="O606" s="71"/>
    </row>
    <row r="607" spans="1:15" x14ac:dyDescent="0.35">
      <c r="A607" s="71"/>
      <c r="B607" s="71"/>
      <c r="C607" s="71"/>
      <c r="D607" s="71"/>
      <c r="E607" s="68"/>
      <c r="F607" s="68"/>
      <c r="G607" s="71"/>
      <c r="H607" s="71"/>
      <c r="I607" s="71"/>
      <c r="J607" s="71"/>
      <c r="K607" s="71"/>
      <c r="L607" s="71"/>
      <c r="M607" s="71"/>
      <c r="N607" s="71"/>
      <c r="O607" s="71"/>
    </row>
    <row r="608" spans="1:15" x14ac:dyDescent="0.35">
      <c r="A608" s="71"/>
      <c r="B608" s="71"/>
      <c r="C608" s="71"/>
      <c r="D608" s="71"/>
      <c r="E608" s="68"/>
      <c r="F608" s="68"/>
      <c r="G608" s="71"/>
      <c r="H608" s="71"/>
      <c r="I608" s="71"/>
      <c r="J608" s="71"/>
      <c r="K608" s="71"/>
      <c r="L608" s="71"/>
      <c r="M608" s="71"/>
      <c r="N608" s="71"/>
      <c r="O608" s="71"/>
    </row>
    <row r="609" spans="1:15" x14ac:dyDescent="0.35">
      <c r="A609" s="71"/>
      <c r="B609" s="71"/>
      <c r="C609" s="71"/>
      <c r="D609" s="71"/>
      <c r="E609" s="68"/>
      <c r="F609" s="68"/>
      <c r="G609" s="71"/>
      <c r="H609" s="71"/>
      <c r="I609" s="71"/>
      <c r="J609" s="71"/>
      <c r="K609" s="71"/>
      <c r="L609" s="71"/>
      <c r="M609" s="71"/>
      <c r="N609" s="71"/>
      <c r="O609" s="71"/>
    </row>
    <row r="610" spans="1:15" x14ac:dyDescent="0.35">
      <c r="A610" s="71"/>
      <c r="B610" s="71"/>
      <c r="C610" s="71"/>
      <c r="D610" s="71"/>
      <c r="E610" s="68"/>
      <c r="F610" s="68"/>
      <c r="G610" s="71"/>
      <c r="H610" s="71"/>
      <c r="I610" s="71"/>
      <c r="J610" s="71"/>
      <c r="K610" s="71"/>
      <c r="L610" s="71"/>
      <c r="M610" s="71"/>
      <c r="N610" s="71"/>
      <c r="O610" s="71"/>
    </row>
    <row r="611" spans="1:15" x14ac:dyDescent="0.35">
      <c r="A611" s="71"/>
      <c r="B611" s="71"/>
      <c r="C611" s="71"/>
      <c r="D611" s="71"/>
      <c r="E611" s="68"/>
      <c r="F611" s="68"/>
      <c r="G611" s="71"/>
      <c r="H611" s="71"/>
      <c r="I611" s="71"/>
      <c r="J611" s="71"/>
      <c r="K611" s="71"/>
      <c r="L611" s="71"/>
      <c r="M611" s="71"/>
      <c r="N611" s="71"/>
      <c r="O611" s="71"/>
    </row>
    <row r="612" spans="1:15" x14ac:dyDescent="0.35">
      <c r="A612" s="71"/>
      <c r="B612" s="71"/>
      <c r="C612" s="71"/>
      <c r="D612" s="71"/>
      <c r="E612" s="68"/>
      <c r="F612" s="68"/>
      <c r="G612" s="71"/>
      <c r="H612" s="71"/>
      <c r="I612" s="71"/>
      <c r="J612" s="71"/>
      <c r="K612" s="71"/>
      <c r="L612" s="71"/>
      <c r="M612" s="71"/>
      <c r="N612" s="71"/>
      <c r="O612" s="71"/>
    </row>
    <row r="613" spans="1:15" x14ac:dyDescent="0.35">
      <c r="A613" s="71"/>
      <c r="B613" s="71"/>
      <c r="C613" s="71"/>
      <c r="D613" s="71"/>
      <c r="E613" s="68"/>
      <c r="F613" s="68"/>
      <c r="G613" s="71"/>
      <c r="H613" s="71"/>
      <c r="I613" s="71"/>
      <c r="J613" s="71"/>
      <c r="K613" s="71"/>
      <c r="L613" s="71"/>
      <c r="M613" s="71"/>
      <c r="N613" s="71"/>
      <c r="O613" s="71"/>
    </row>
    <row r="614" spans="1:15" x14ac:dyDescent="0.35">
      <c r="A614" s="71"/>
      <c r="B614" s="71"/>
      <c r="C614" s="71"/>
      <c r="D614" s="71"/>
      <c r="E614" s="68"/>
      <c r="F614" s="68"/>
      <c r="G614" s="71"/>
      <c r="H614" s="71"/>
      <c r="I614" s="71"/>
      <c r="J614" s="71"/>
      <c r="K614" s="71"/>
      <c r="L614" s="71"/>
      <c r="M614" s="71"/>
      <c r="N614" s="71"/>
      <c r="O614" s="71"/>
    </row>
    <row r="615" spans="1:15" x14ac:dyDescent="0.35">
      <c r="A615" s="71"/>
      <c r="B615" s="71"/>
      <c r="C615" s="71"/>
      <c r="D615" s="71"/>
      <c r="E615" s="68"/>
      <c r="F615" s="68"/>
      <c r="G615" s="71"/>
      <c r="H615" s="71"/>
      <c r="I615" s="71"/>
      <c r="J615" s="71"/>
      <c r="K615" s="71"/>
      <c r="L615" s="71"/>
      <c r="M615" s="71"/>
      <c r="N615" s="71"/>
      <c r="O615" s="71"/>
    </row>
    <row r="616" spans="1:15" x14ac:dyDescent="0.35">
      <c r="A616" s="71"/>
      <c r="B616" s="71"/>
      <c r="C616" s="71"/>
      <c r="D616" s="71"/>
      <c r="E616" s="68"/>
      <c r="F616" s="68"/>
      <c r="G616" s="71"/>
      <c r="H616" s="71"/>
      <c r="I616" s="71"/>
      <c r="J616" s="71"/>
      <c r="K616" s="71"/>
      <c r="L616" s="71"/>
      <c r="M616" s="71"/>
      <c r="N616" s="71"/>
      <c r="O616" s="71"/>
    </row>
    <row r="617" spans="1:15" x14ac:dyDescent="0.35">
      <c r="A617" s="71"/>
      <c r="B617" s="71"/>
      <c r="C617" s="71"/>
      <c r="D617" s="71"/>
      <c r="E617" s="68"/>
      <c r="F617" s="68"/>
      <c r="G617" s="71"/>
      <c r="H617" s="71"/>
      <c r="I617" s="71"/>
      <c r="J617" s="71"/>
      <c r="K617" s="71"/>
      <c r="L617" s="71"/>
      <c r="M617" s="71"/>
      <c r="N617" s="71"/>
      <c r="O617" s="71"/>
    </row>
    <row r="618" spans="1:15" x14ac:dyDescent="0.35">
      <c r="A618" s="71"/>
      <c r="B618" s="71"/>
      <c r="C618" s="71"/>
      <c r="D618" s="71"/>
      <c r="E618" s="68"/>
      <c r="F618" s="68"/>
      <c r="G618" s="71"/>
      <c r="H618" s="71"/>
      <c r="I618" s="71"/>
      <c r="J618" s="71"/>
      <c r="K618" s="71"/>
      <c r="L618" s="71"/>
      <c r="M618" s="71"/>
      <c r="N618" s="71"/>
      <c r="O618" s="71"/>
    </row>
    <row r="619" spans="1:15" x14ac:dyDescent="0.35">
      <c r="A619" s="71"/>
      <c r="B619" s="71"/>
      <c r="C619" s="71"/>
      <c r="D619" s="71"/>
      <c r="E619" s="68"/>
      <c r="F619" s="68"/>
      <c r="G619" s="71"/>
      <c r="H619" s="71"/>
      <c r="I619" s="71"/>
      <c r="J619" s="71"/>
      <c r="K619" s="71"/>
      <c r="L619" s="71"/>
      <c r="M619" s="71"/>
      <c r="N619" s="71"/>
      <c r="O619" s="71"/>
    </row>
    <row r="620" spans="1:15" x14ac:dyDescent="0.35">
      <c r="A620" s="71"/>
      <c r="B620" s="71"/>
      <c r="C620" s="71"/>
      <c r="D620" s="71"/>
      <c r="E620" s="68"/>
      <c r="F620" s="68"/>
      <c r="G620" s="71"/>
      <c r="H620" s="71"/>
      <c r="I620" s="71"/>
      <c r="J620" s="71"/>
      <c r="K620" s="71"/>
      <c r="L620" s="71"/>
      <c r="M620" s="71"/>
      <c r="N620" s="71"/>
      <c r="O620" s="71"/>
    </row>
    <row r="621" spans="1:15" x14ac:dyDescent="0.35">
      <c r="A621" s="71"/>
      <c r="B621" s="71"/>
      <c r="C621" s="71"/>
      <c r="D621" s="71"/>
      <c r="E621" s="68"/>
      <c r="F621" s="68"/>
      <c r="G621" s="71"/>
      <c r="H621" s="71"/>
      <c r="I621" s="71"/>
      <c r="J621" s="71"/>
      <c r="K621" s="71"/>
      <c r="L621" s="71"/>
      <c r="M621" s="71"/>
      <c r="N621" s="71"/>
      <c r="O621" s="71"/>
    </row>
    <row r="622" spans="1:15" x14ac:dyDescent="0.35">
      <c r="A622" s="71"/>
      <c r="B622" s="71"/>
      <c r="C622" s="71"/>
      <c r="D622" s="71"/>
      <c r="E622" s="68"/>
      <c r="F622" s="68"/>
      <c r="G622" s="71"/>
      <c r="H622" s="71"/>
      <c r="I622" s="71"/>
      <c r="J622" s="71"/>
      <c r="K622" s="71"/>
      <c r="L622" s="71"/>
      <c r="M622" s="71"/>
      <c r="N622" s="71"/>
      <c r="O622" s="71"/>
    </row>
    <row r="623" spans="1:15" x14ac:dyDescent="0.35">
      <c r="A623" s="71"/>
      <c r="B623" s="71"/>
      <c r="C623" s="71"/>
      <c r="D623" s="71"/>
      <c r="E623" s="68"/>
      <c r="F623" s="68"/>
      <c r="G623" s="71"/>
      <c r="H623" s="71"/>
      <c r="I623" s="71"/>
      <c r="J623" s="71"/>
      <c r="K623" s="71"/>
      <c r="L623" s="71"/>
      <c r="M623" s="71"/>
      <c r="N623" s="71"/>
      <c r="O623" s="71"/>
    </row>
    <row r="624" spans="1:15" x14ac:dyDescent="0.35">
      <c r="A624" s="71"/>
      <c r="B624" s="71"/>
      <c r="C624" s="71"/>
      <c r="D624" s="71"/>
      <c r="E624" s="68"/>
      <c r="F624" s="68"/>
      <c r="G624" s="71"/>
      <c r="H624" s="71"/>
      <c r="I624" s="71"/>
      <c r="J624" s="71"/>
      <c r="K624" s="71"/>
      <c r="L624" s="71"/>
      <c r="M624" s="71"/>
      <c r="N624" s="71"/>
      <c r="O624" s="71"/>
    </row>
    <row r="625" spans="1:15" x14ac:dyDescent="0.35">
      <c r="A625" s="71"/>
      <c r="B625" s="71"/>
      <c r="C625" s="71"/>
      <c r="D625" s="71"/>
      <c r="E625" s="68"/>
      <c r="F625" s="68"/>
      <c r="G625" s="71"/>
      <c r="H625" s="71"/>
      <c r="I625" s="71"/>
      <c r="J625" s="71"/>
      <c r="K625" s="71"/>
      <c r="L625" s="71"/>
      <c r="M625" s="71"/>
      <c r="N625" s="71"/>
      <c r="O625" s="71"/>
    </row>
    <row r="626" spans="1:15" x14ac:dyDescent="0.35">
      <c r="A626" s="71"/>
      <c r="B626" s="71"/>
      <c r="C626" s="71"/>
      <c r="D626" s="71"/>
      <c r="E626" s="68"/>
      <c r="F626" s="68"/>
      <c r="G626" s="71"/>
      <c r="H626" s="71"/>
      <c r="I626" s="71"/>
      <c r="J626" s="71"/>
      <c r="K626" s="71"/>
      <c r="L626" s="71"/>
      <c r="M626" s="71"/>
      <c r="N626" s="71"/>
      <c r="O626" s="71"/>
    </row>
    <row r="627" spans="1:15" x14ac:dyDescent="0.35">
      <c r="A627" s="71"/>
      <c r="B627" s="71"/>
      <c r="C627" s="71"/>
      <c r="D627" s="71"/>
      <c r="E627" s="68"/>
      <c r="F627" s="68"/>
      <c r="G627" s="71"/>
      <c r="H627" s="71"/>
      <c r="I627" s="71"/>
      <c r="J627" s="71"/>
      <c r="K627" s="71"/>
      <c r="L627" s="71"/>
      <c r="M627" s="71"/>
      <c r="N627" s="71"/>
      <c r="O627" s="71"/>
    </row>
    <row r="628" spans="1:15" x14ac:dyDescent="0.35">
      <c r="A628" s="71"/>
      <c r="B628" s="71"/>
      <c r="C628" s="71"/>
      <c r="D628" s="71"/>
      <c r="E628" s="68"/>
      <c r="F628" s="68"/>
      <c r="G628" s="71"/>
      <c r="H628" s="71"/>
      <c r="I628" s="71"/>
      <c r="J628" s="71"/>
      <c r="K628" s="71"/>
      <c r="L628" s="71"/>
      <c r="M628" s="71"/>
      <c r="N628" s="71"/>
      <c r="O628" s="71"/>
    </row>
    <row r="629" spans="1:15" x14ac:dyDescent="0.35">
      <c r="A629" s="71"/>
      <c r="B629" s="71"/>
      <c r="C629" s="71"/>
      <c r="D629" s="71"/>
      <c r="E629" s="68"/>
      <c r="F629" s="68"/>
      <c r="G629" s="71"/>
      <c r="H629" s="71"/>
      <c r="I629" s="71"/>
      <c r="J629" s="71"/>
      <c r="K629" s="71"/>
      <c r="L629" s="71"/>
      <c r="M629" s="71"/>
      <c r="N629" s="71"/>
      <c r="O629" s="71"/>
    </row>
    <row r="630" spans="1:15" x14ac:dyDescent="0.35">
      <c r="A630" s="71"/>
      <c r="B630" s="71"/>
      <c r="C630" s="71"/>
      <c r="D630" s="71"/>
      <c r="E630" s="68"/>
      <c r="F630" s="68"/>
      <c r="G630" s="71"/>
      <c r="H630" s="71"/>
      <c r="I630" s="71"/>
      <c r="J630" s="71"/>
      <c r="K630" s="71"/>
      <c r="L630" s="71"/>
      <c r="M630" s="71"/>
      <c r="N630" s="71"/>
      <c r="O630" s="71"/>
    </row>
    <row r="631" spans="1:15" x14ac:dyDescent="0.35">
      <c r="A631" s="71"/>
      <c r="B631" s="71"/>
      <c r="C631" s="71"/>
      <c r="D631" s="71"/>
      <c r="E631" s="68"/>
      <c r="F631" s="68"/>
      <c r="G631" s="71"/>
      <c r="H631" s="71"/>
      <c r="I631" s="71"/>
      <c r="J631" s="71"/>
      <c r="K631" s="71"/>
      <c r="L631" s="71"/>
      <c r="M631" s="71"/>
      <c r="N631" s="71"/>
      <c r="O631" s="71"/>
    </row>
    <row r="632" spans="1:15" x14ac:dyDescent="0.35">
      <c r="A632" s="71"/>
      <c r="B632" s="71"/>
      <c r="C632" s="71"/>
      <c r="D632" s="71"/>
      <c r="E632" s="68"/>
      <c r="F632" s="68"/>
      <c r="G632" s="71"/>
      <c r="H632" s="71"/>
      <c r="I632" s="71"/>
      <c r="J632" s="71"/>
      <c r="K632" s="71"/>
      <c r="L632" s="71"/>
      <c r="M632" s="71"/>
      <c r="N632" s="71"/>
      <c r="O632" s="71"/>
    </row>
    <row r="633" spans="1:15" x14ac:dyDescent="0.35">
      <c r="A633" s="71"/>
      <c r="B633" s="71"/>
      <c r="C633" s="71"/>
      <c r="D633" s="71"/>
      <c r="E633" s="68"/>
      <c r="F633" s="68"/>
      <c r="G633" s="71"/>
      <c r="H633" s="71"/>
      <c r="I633" s="71"/>
      <c r="J633" s="71"/>
      <c r="K633" s="71"/>
      <c r="L633" s="71"/>
      <c r="M633" s="71"/>
      <c r="N633" s="71"/>
      <c r="O633" s="71"/>
    </row>
    <row r="634" spans="1:15" x14ac:dyDescent="0.35">
      <c r="A634" s="71"/>
      <c r="B634" s="71"/>
      <c r="C634" s="71"/>
      <c r="D634" s="71"/>
      <c r="E634" s="68"/>
      <c r="F634" s="68"/>
      <c r="G634" s="71"/>
      <c r="H634" s="71"/>
      <c r="I634" s="71"/>
      <c r="J634" s="71"/>
      <c r="K634" s="71"/>
      <c r="L634" s="71"/>
      <c r="M634" s="71"/>
      <c r="N634" s="71"/>
      <c r="O634" s="71"/>
    </row>
    <row r="635" spans="1:15" x14ac:dyDescent="0.35">
      <c r="A635" s="71"/>
      <c r="B635" s="71"/>
      <c r="C635" s="71"/>
      <c r="D635" s="71"/>
      <c r="E635" s="68"/>
      <c r="F635" s="68"/>
      <c r="G635" s="71"/>
      <c r="H635" s="71"/>
      <c r="I635" s="71"/>
      <c r="J635" s="71"/>
      <c r="K635" s="71"/>
      <c r="L635" s="71"/>
      <c r="M635" s="71"/>
      <c r="N635" s="71"/>
      <c r="O635" s="71"/>
    </row>
    <row r="636" spans="1:15" x14ac:dyDescent="0.35">
      <c r="A636" s="71"/>
      <c r="B636" s="71"/>
      <c r="C636" s="71"/>
      <c r="D636" s="71"/>
      <c r="E636" s="68"/>
      <c r="F636" s="68"/>
      <c r="G636" s="71"/>
      <c r="H636" s="71"/>
      <c r="I636" s="71"/>
      <c r="J636" s="71"/>
      <c r="K636" s="71"/>
      <c r="L636" s="71"/>
      <c r="M636" s="71"/>
      <c r="N636" s="71"/>
      <c r="O636" s="71"/>
    </row>
    <row r="637" spans="1:15" x14ac:dyDescent="0.35">
      <c r="A637" s="71"/>
      <c r="B637" s="71"/>
      <c r="C637" s="71"/>
      <c r="D637" s="71"/>
      <c r="E637" s="68"/>
      <c r="F637" s="68"/>
      <c r="G637" s="71"/>
      <c r="H637" s="71"/>
      <c r="I637" s="71"/>
      <c r="J637" s="71"/>
      <c r="K637" s="71"/>
      <c r="L637" s="71"/>
      <c r="M637" s="71"/>
      <c r="N637" s="71"/>
      <c r="O637" s="71"/>
    </row>
    <row r="638" spans="1:15" x14ac:dyDescent="0.35">
      <c r="A638" s="71"/>
      <c r="B638" s="71"/>
      <c r="C638" s="71"/>
      <c r="D638" s="71"/>
      <c r="E638" s="68"/>
      <c r="F638" s="68"/>
      <c r="G638" s="71"/>
      <c r="H638" s="71"/>
      <c r="I638" s="71"/>
      <c r="J638" s="71"/>
      <c r="K638" s="71"/>
      <c r="L638" s="71"/>
      <c r="M638" s="71"/>
      <c r="N638" s="71"/>
      <c r="O638" s="71"/>
    </row>
    <row r="639" spans="1:15" x14ac:dyDescent="0.35">
      <c r="A639" s="71"/>
      <c r="B639" s="71"/>
      <c r="C639" s="71"/>
      <c r="D639" s="71"/>
      <c r="E639" s="68"/>
      <c r="F639" s="68"/>
      <c r="G639" s="71"/>
      <c r="H639" s="71"/>
      <c r="I639" s="71"/>
      <c r="J639" s="71"/>
      <c r="K639" s="71"/>
      <c r="L639" s="71"/>
      <c r="M639" s="71"/>
      <c r="N639" s="71"/>
      <c r="O639" s="71"/>
    </row>
    <row r="640" spans="1:15" x14ac:dyDescent="0.35">
      <c r="A640" s="71"/>
      <c r="B640" s="71"/>
      <c r="C640" s="71"/>
      <c r="D640" s="71"/>
      <c r="E640" s="68"/>
      <c r="F640" s="68"/>
      <c r="G640" s="71"/>
      <c r="H640" s="71"/>
      <c r="I640" s="71"/>
      <c r="J640" s="71"/>
      <c r="K640" s="71"/>
      <c r="L640" s="71"/>
      <c r="M640" s="71"/>
      <c r="N640" s="71"/>
      <c r="O640" s="71"/>
    </row>
    <row r="641" spans="1:15" x14ac:dyDescent="0.35">
      <c r="A641" s="71"/>
      <c r="B641" s="71"/>
      <c r="C641" s="71"/>
      <c r="D641" s="71"/>
      <c r="E641" s="68"/>
      <c r="F641" s="68"/>
      <c r="G641" s="71"/>
      <c r="H641" s="71"/>
      <c r="I641" s="71"/>
      <c r="J641" s="71"/>
      <c r="K641" s="71"/>
      <c r="L641" s="71"/>
      <c r="M641" s="71"/>
      <c r="N641" s="71"/>
      <c r="O641" s="71"/>
    </row>
    <row r="642" spans="1:15" x14ac:dyDescent="0.35">
      <c r="A642" s="71"/>
      <c r="B642" s="71"/>
      <c r="C642" s="71"/>
      <c r="D642" s="71"/>
      <c r="E642" s="68"/>
      <c r="F642" s="68"/>
      <c r="G642" s="71"/>
      <c r="H642" s="71"/>
      <c r="I642" s="71"/>
      <c r="J642" s="71"/>
      <c r="K642" s="71"/>
      <c r="L642" s="71"/>
      <c r="M642" s="71"/>
      <c r="N642" s="71"/>
      <c r="O642" s="71"/>
    </row>
    <row r="643" spans="1:15" x14ac:dyDescent="0.35">
      <c r="A643" s="71"/>
      <c r="B643" s="71"/>
      <c r="C643" s="71"/>
      <c r="D643" s="71"/>
      <c r="E643" s="68"/>
      <c r="F643" s="68"/>
      <c r="G643" s="71"/>
      <c r="H643" s="71"/>
      <c r="I643" s="71"/>
      <c r="J643" s="71"/>
      <c r="K643" s="71"/>
      <c r="L643" s="71"/>
      <c r="M643" s="71"/>
      <c r="N643" s="71"/>
      <c r="O643" s="71"/>
    </row>
    <row r="644" spans="1:15" x14ac:dyDescent="0.35">
      <c r="A644" s="71"/>
      <c r="B644" s="71"/>
      <c r="C644" s="71"/>
      <c r="D644" s="71"/>
      <c r="E644" s="68"/>
      <c r="F644" s="68"/>
      <c r="G644" s="71"/>
      <c r="H644" s="71"/>
      <c r="I644" s="71"/>
      <c r="J644" s="71"/>
      <c r="K644" s="71"/>
      <c r="L644" s="71"/>
      <c r="M644" s="71"/>
      <c r="N644" s="71"/>
      <c r="O644" s="71"/>
    </row>
    <row r="645" spans="1:15" x14ac:dyDescent="0.35">
      <c r="A645" s="71"/>
      <c r="B645" s="71"/>
      <c r="C645" s="71"/>
      <c r="D645" s="71"/>
      <c r="E645" s="68"/>
      <c r="F645" s="68"/>
      <c r="G645" s="71"/>
      <c r="H645" s="71"/>
      <c r="I645" s="71"/>
      <c r="J645" s="71"/>
      <c r="K645" s="71"/>
      <c r="L645" s="71"/>
      <c r="M645" s="71"/>
      <c r="N645" s="71"/>
      <c r="O645" s="71"/>
    </row>
    <row r="646" spans="1:15" x14ac:dyDescent="0.35">
      <c r="A646" s="71"/>
      <c r="B646" s="71"/>
      <c r="C646" s="71"/>
      <c r="D646" s="71"/>
      <c r="E646" s="68"/>
      <c r="F646" s="68"/>
      <c r="G646" s="71"/>
      <c r="H646" s="71"/>
      <c r="I646" s="71"/>
      <c r="J646" s="71"/>
      <c r="K646" s="71"/>
      <c r="L646" s="71"/>
      <c r="M646" s="71"/>
      <c r="N646" s="71"/>
      <c r="O646" s="71"/>
    </row>
    <row r="647" spans="1:15" x14ac:dyDescent="0.35">
      <c r="A647" s="71"/>
      <c r="B647" s="71"/>
      <c r="C647" s="71"/>
      <c r="D647" s="71"/>
      <c r="E647" s="68"/>
      <c r="F647" s="68"/>
      <c r="G647" s="71"/>
      <c r="H647" s="71"/>
      <c r="I647" s="71"/>
      <c r="J647" s="71"/>
      <c r="K647" s="71"/>
      <c r="L647" s="71"/>
      <c r="M647" s="71"/>
      <c r="N647" s="71"/>
      <c r="O647" s="71"/>
    </row>
    <row r="648" spans="1:15" x14ac:dyDescent="0.35">
      <c r="A648" s="71"/>
      <c r="B648" s="71"/>
      <c r="C648" s="71"/>
      <c r="D648" s="71"/>
      <c r="E648" s="68"/>
      <c r="F648" s="68"/>
      <c r="G648" s="71"/>
      <c r="H648" s="71"/>
      <c r="I648" s="71"/>
      <c r="J648" s="71"/>
      <c r="K648" s="71"/>
      <c r="L648" s="71"/>
      <c r="M648" s="71"/>
      <c r="N648" s="71"/>
      <c r="O648" s="71"/>
    </row>
    <row r="649" spans="1:15" x14ac:dyDescent="0.35">
      <c r="A649" s="71"/>
      <c r="B649" s="71"/>
      <c r="C649" s="71"/>
      <c r="D649" s="71"/>
      <c r="E649" s="68"/>
      <c r="F649" s="68"/>
      <c r="G649" s="71"/>
      <c r="H649" s="71"/>
      <c r="I649" s="71"/>
      <c r="J649" s="71"/>
      <c r="K649" s="71"/>
      <c r="L649" s="71"/>
      <c r="M649" s="71"/>
      <c r="N649" s="71"/>
      <c r="O649" s="71"/>
    </row>
    <row r="650" spans="1:15" x14ac:dyDescent="0.35">
      <c r="A650" s="71"/>
      <c r="B650" s="71"/>
      <c r="C650" s="71"/>
      <c r="D650" s="71"/>
      <c r="E650" s="68"/>
      <c r="F650" s="68"/>
      <c r="G650" s="71"/>
      <c r="H650" s="71"/>
      <c r="I650" s="71"/>
      <c r="J650" s="71"/>
      <c r="K650" s="71"/>
      <c r="L650" s="71"/>
      <c r="M650" s="71"/>
      <c r="N650" s="71"/>
      <c r="O650" s="71"/>
    </row>
    <row r="651" spans="1:15" x14ac:dyDescent="0.35">
      <c r="A651" s="71"/>
      <c r="B651" s="71"/>
      <c r="C651" s="71"/>
      <c r="D651" s="71"/>
      <c r="E651" s="68"/>
      <c r="F651" s="68"/>
      <c r="G651" s="71"/>
      <c r="H651" s="71"/>
      <c r="I651" s="71"/>
      <c r="J651" s="71"/>
      <c r="K651" s="71"/>
      <c r="L651" s="71"/>
      <c r="M651" s="71"/>
      <c r="N651" s="71"/>
      <c r="O651" s="71"/>
    </row>
    <row r="652" spans="1:15" x14ac:dyDescent="0.35">
      <c r="A652" s="71"/>
      <c r="B652" s="71"/>
      <c r="C652" s="71"/>
      <c r="D652" s="71"/>
      <c r="E652" s="68"/>
      <c r="F652" s="68"/>
      <c r="G652" s="71"/>
      <c r="H652" s="71"/>
      <c r="I652" s="71"/>
      <c r="J652" s="71"/>
      <c r="K652" s="71"/>
      <c r="L652" s="71"/>
      <c r="M652" s="71"/>
      <c r="N652" s="71"/>
      <c r="O652" s="71"/>
    </row>
    <row r="653" spans="1:15" x14ac:dyDescent="0.35">
      <c r="A653" s="71"/>
      <c r="B653" s="71"/>
      <c r="C653" s="71"/>
      <c r="D653" s="71"/>
      <c r="E653" s="68"/>
      <c r="F653" s="68"/>
      <c r="G653" s="71"/>
      <c r="H653" s="71"/>
      <c r="I653" s="71"/>
      <c r="J653" s="71"/>
      <c r="K653" s="71"/>
      <c r="L653" s="71"/>
      <c r="M653" s="71"/>
      <c r="N653" s="71"/>
      <c r="O653" s="71"/>
    </row>
    <row r="654" spans="1:15" x14ac:dyDescent="0.35">
      <c r="A654" s="71"/>
      <c r="B654" s="71"/>
      <c r="C654" s="71"/>
      <c r="D654" s="71"/>
      <c r="E654" s="68"/>
      <c r="F654" s="68"/>
      <c r="G654" s="71"/>
      <c r="H654" s="71"/>
      <c r="I654" s="71"/>
      <c r="J654" s="71"/>
      <c r="K654" s="71"/>
      <c r="L654" s="71"/>
      <c r="M654" s="71"/>
      <c r="N654" s="71"/>
      <c r="O654" s="71"/>
    </row>
    <row r="655" spans="1:15" x14ac:dyDescent="0.35">
      <c r="A655" s="71"/>
      <c r="B655" s="71"/>
      <c r="C655" s="71"/>
      <c r="D655" s="71"/>
      <c r="E655" s="68"/>
      <c r="F655" s="68"/>
      <c r="G655" s="71"/>
      <c r="H655" s="71"/>
      <c r="I655" s="71"/>
      <c r="J655" s="71"/>
      <c r="K655" s="71"/>
      <c r="L655" s="71"/>
      <c r="M655" s="71"/>
      <c r="N655" s="71"/>
      <c r="O655" s="71"/>
    </row>
    <row r="656" spans="1:15" x14ac:dyDescent="0.35">
      <c r="A656" s="71"/>
      <c r="B656" s="71"/>
      <c r="C656" s="71"/>
      <c r="D656" s="71"/>
      <c r="E656" s="68"/>
      <c r="F656" s="68"/>
      <c r="G656" s="71"/>
      <c r="H656" s="71"/>
      <c r="I656" s="71"/>
      <c r="J656" s="71"/>
      <c r="K656" s="71"/>
      <c r="L656" s="71"/>
      <c r="M656" s="71"/>
      <c r="N656" s="71"/>
      <c r="O656" s="71"/>
    </row>
    <row r="657" spans="1:15" x14ac:dyDescent="0.35">
      <c r="A657" s="71"/>
      <c r="B657" s="71"/>
      <c r="C657" s="71"/>
      <c r="D657" s="71"/>
      <c r="E657" s="68"/>
      <c r="F657" s="68"/>
      <c r="G657" s="71"/>
      <c r="H657" s="71"/>
      <c r="I657" s="71"/>
      <c r="J657" s="71"/>
      <c r="K657" s="71"/>
      <c r="L657" s="71"/>
      <c r="M657" s="71"/>
      <c r="N657" s="71"/>
      <c r="O657" s="71"/>
    </row>
    <row r="658" spans="1:15" x14ac:dyDescent="0.35">
      <c r="A658" s="71"/>
      <c r="B658" s="71"/>
      <c r="C658" s="71"/>
      <c r="D658" s="71"/>
      <c r="E658" s="68"/>
      <c r="F658" s="68"/>
      <c r="G658" s="71"/>
      <c r="H658" s="71"/>
      <c r="I658" s="71"/>
      <c r="J658" s="71"/>
      <c r="K658" s="71"/>
      <c r="L658" s="71"/>
      <c r="M658" s="71"/>
      <c r="N658" s="71"/>
      <c r="O658" s="71"/>
    </row>
    <row r="659" spans="1:15" x14ac:dyDescent="0.35">
      <c r="A659" s="71"/>
      <c r="B659" s="71"/>
      <c r="C659" s="71"/>
      <c r="D659" s="71"/>
      <c r="E659" s="68"/>
      <c r="F659" s="68"/>
      <c r="G659" s="71"/>
      <c r="H659" s="71"/>
      <c r="I659" s="71"/>
      <c r="J659" s="71"/>
      <c r="K659" s="71"/>
      <c r="L659" s="71"/>
      <c r="M659" s="71"/>
      <c r="N659" s="71"/>
      <c r="O659" s="71"/>
    </row>
    <row r="660" spans="1:15" x14ac:dyDescent="0.35">
      <c r="A660" s="71"/>
      <c r="B660" s="71"/>
      <c r="C660" s="71"/>
      <c r="D660" s="71"/>
      <c r="E660" s="68"/>
      <c r="F660" s="68"/>
      <c r="G660" s="71"/>
      <c r="H660" s="71"/>
      <c r="I660" s="71"/>
      <c r="J660" s="71"/>
      <c r="K660" s="71"/>
      <c r="L660" s="71"/>
      <c r="M660" s="71"/>
      <c r="N660" s="71"/>
      <c r="O660" s="71"/>
    </row>
    <row r="661" spans="1:15" x14ac:dyDescent="0.35">
      <c r="A661" s="71"/>
      <c r="B661" s="71"/>
      <c r="C661" s="71"/>
      <c r="D661" s="71"/>
      <c r="E661" s="68"/>
      <c r="F661" s="68"/>
      <c r="G661" s="71"/>
      <c r="H661" s="71"/>
      <c r="I661" s="71"/>
      <c r="J661" s="71"/>
      <c r="K661" s="71"/>
      <c r="L661" s="71"/>
      <c r="M661" s="71"/>
      <c r="N661" s="71"/>
      <c r="O661" s="71"/>
    </row>
    <row r="662" spans="1:15" x14ac:dyDescent="0.35">
      <c r="A662" s="71"/>
      <c r="B662" s="71"/>
      <c r="C662" s="71"/>
      <c r="D662" s="71"/>
      <c r="E662" s="68"/>
      <c r="F662" s="68"/>
      <c r="G662" s="71"/>
      <c r="H662" s="71"/>
      <c r="I662" s="71"/>
      <c r="J662" s="71"/>
      <c r="K662" s="71"/>
      <c r="L662" s="71"/>
      <c r="M662" s="71"/>
      <c r="N662" s="71"/>
      <c r="O662" s="71"/>
    </row>
    <row r="663" spans="1:15" x14ac:dyDescent="0.35">
      <c r="A663" s="71"/>
      <c r="B663" s="71"/>
      <c r="C663" s="71"/>
      <c r="D663" s="71"/>
      <c r="E663" s="68"/>
      <c r="F663" s="68"/>
      <c r="G663" s="71"/>
      <c r="H663" s="71"/>
      <c r="I663" s="71"/>
      <c r="J663" s="71"/>
      <c r="K663" s="71"/>
      <c r="L663" s="71"/>
      <c r="M663" s="71"/>
      <c r="N663" s="71"/>
      <c r="O663" s="71"/>
    </row>
    <row r="664" spans="1:15" x14ac:dyDescent="0.35">
      <c r="A664" s="71"/>
      <c r="B664" s="71"/>
      <c r="C664" s="71"/>
      <c r="D664" s="71"/>
      <c r="E664" s="68"/>
      <c r="F664" s="68"/>
      <c r="G664" s="71"/>
      <c r="H664" s="71"/>
      <c r="I664" s="71"/>
      <c r="J664" s="71"/>
      <c r="K664" s="71"/>
      <c r="L664" s="71"/>
      <c r="M664" s="71"/>
      <c r="N664" s="71"/>
      <c r="O664" s="71"/>
    </row>
    <row r="665" spans="1:15" x14ac:dyDescent="0.35">
      <c r="A665" s="71"/>
      <c r="B665" s="71"/>
      <c r="C665" s="71"/>
      <c r="D665" s="71"/>
      <c r="E665" s="68"/>
      <c r="F665" s="68"/>
      <c r="G665" s="71"/>
      <c r="H665" s="71"/>
      <c r="I665" s="71"/>
      <c r="J665" s="71"/>
      <c r="K665" s="71"/>
      <c r="L665" s="71"/>
      <c r="M665" s="71"/>
      <c r="N665" s="71"/>
      <c r="O665" s="71"/>
    </row>
    <row r="666" spans="1:15" x14ac:dyDescent="0.35">
      <c r="A666" s="71"/>
      <c r="B666" s="71"/>
      <c r="C666" s="71"/>
      <c r="D666" s="71"/>
      <c r="E666" s="68"/>
      <c r="F666" s="68"/>
      <c r="G666" s="71"/>
      <c r="H666" s="71"/>
      <c r="I666" s="71"/>
      <c r="J666" s="71"/>
      <c r="K666" s="71"/>
      <c r="L666" s="71"/>
      <c r="M666" s="71"/>
      <c r="N666" s="71"/>
      <c r="O666" s="71"/>
    </row>
    <row r="667" spans="1:15" x14ac:dyDescent="0.35">
      <c r="A667" s="71"/>
      <c r="B667" s="71"/>
      <c r="C667" s="71"/>
      <c r="D667" s="71"/>
      <c r="E667" s="68"/>
      <c r="F667" s="68"/>
      <c r="G667" s="71"/>
      <c r="H667" s="71"/>
      <c r="I667" s="71"/>
      <c r="J667" s="71"/>
      <c r="K667" s="71"/>
      <c r="L667" s="71"/>
      <c r="M667" s="71"/>
      <c r="N667" s="71"/>
      <c r="O667" s="71"/>
    </row>
    <row r="668" spans="1:15" x14ac:dyDescent="0.35">
      <c r="A668" s="71"/>
      <c r="B668" s="71"/>
      <c r="C668" s="71"/>
      <c r="D668" s="71"/>
      <c r="E668" s="68"/>
      <c r="F668" s="68"/>
      <c r="G668" s="71"/>
      <c r="H668" s="71"/>
      <c r="I668" s="71"/>
      <c r="J668" s="71"/>
      <c r="K668" s="71"/>
      <c r="L668" s="71"/>
      <c r="M668" s="71"/>
      <c r="N668" s="71"/>
      <c r="O668" s="71"/>
    </row>
    <row r="669" spans="1:15" x14ac:dyDescent="0.35">
      <c r="A669" s="71"/>
      <c r="B669" s="71"/>
      <c r="C669" s="71"/>
      <c r="D669" s="71"/>
      <c r="E669" s="68"/>
      <c r="F669" s="68"/>
      <c r="G669" s="71"/>
      <c r="H669" s="71"/>
      <c r="I669" s="71"/>
      <c r="J669" s="71"/>
      <c r="K669" s="71"/>
      <c r="L669" s="71"/>
      <c r="M669" s="71"/>
      <c r="N669" s="71"/>
      <c r="O669" s="71"/>
    </row>
    <row r="670" spans="1:15" x14ac:dyDescent="0.35">
      <c r="A670" s="71"/>
      <c r="B670" s="71"/>
      <c r="C670" s="71"/>
      <c r="D670" s="71"/>
      <c r="E670" s="68"/>
      <c r="F670" s="68"/>
      <c r="G670" s="71"/>
      <c r="H670" s="71"/>
      <c r="I670" s="71"/>
      <c r="J670" s="71"/>
      <c r="K670" s="71"/>
      <c r="L670" s="71"/>
      <c r="M670" s="71"/>
      <c r="N670" s="71"/>
      <c r="O670" s="71"/>
    </row>
    <row r="671" spans="1:15" x14ac:dyDescent="0.35">
      <c r="A671" s="71"/>
      <c r="B671" s="71"/>
      <c r="C671" s="71"/>
      <c r="D671" s="71"/>
      <c r="E671" s="68"/>
      <c r="F671" s="68"/>
      <c r="G671" s="71"/>
      <c r="H671" s="71"/>
      <c r="I671" s="71"/>
      <c r="J671" s="71"/>
      <c r="K671" s="71"/>
      <c r="L671" s="71"/>
      <c r="M671" s="71"/>
      <c r="N671" s="71"/>
      <c r="O671" s="71"/>
    </row>
    <row r="672" spans="1:15" x14ac:dyDescent="0.35">
      <c r="A672" s="71"/>
      <c r="B672" s="71"/>
      <c r="C672" s="71"/>
      <c r="D672" s="71"/>
      <c r="E672" s="68"/>
      <c r="F672" s="68"/>
      <c r="G672" s="71"/>
      <c r="H672" s="71"/>
      <c r="I672" s="71"/>
      <c r="J672" s="71"/>
      <c r="K672" s="71"/>
      <c r="L672" s="71"/>
      <c r="M672" s="71"/>
      <c r="N672" s="71"/>
      <c r="O672" s="71"/>
    </row>
    <row r="673" spans="1:15" x14ac:dyDescent="0.35">
      <c r="A673" s="71"/>
      <c r="B673" s="71"/>
      <c r="C673" s="71"/>
      <c r="D673" s="71"/>
      <c r="E673" s="68"/>
      <c r="F673" s="68"/>
      <c r="G673" s="71"/>
      <c r="H673" s="71"/>
      <c r="I673" s="71"/>
      <c r="J673" s="71"/>
      <c r="K673" s="71"/>
      <c r="L673" s="71"/>
      <c r="M673" s="71"/>
      <c r="N673" s="71"/>
      <c r="O673" s="71"/>
    </row>
    <row r="674" spans="1:15" x14ac:dyDescent="0.35">
      <c r="A674" s="71"/>
      <c r="B674" s="71"/>
      <c r="C674" s="71"/>
      <c r="D674" s="71"/>
      <c r="E674" s="68"/>
      <c r="F674" s="68"/>
      <c r="G674" s="71"/>
      <c r="H674" s="71"/>
      <c r="I674" s="71"/>
      <c r="J674" s="71"/>
      <c r="K674" s="71"/>
      <c r="L674" s="71"/>
      <c r="M674" s="71"/>
      <c r="N674" s="71"/>
      <c r="O674" s="71"/>
    </row>
    <row r="675" spans="1:15" x14ac:dyDescent="0.35">
      <c r="A675" s="71"/>
      <c r="B675" s="71"/>
      <c r="C675" s="71"/>
      <c r="D675" s="71"/>
      <c r="E675" s="68"/>
      <c r="F675" s="68"/>
      <c r="G675" s="71"/>
      <c r="H675" s="71"/>
      <c r="I675" s="71"/>
      <c r="J675" s="71"/>
      <c r="K675" s="71"/>
      <c r="L675" s="71"/>
      <c r="M675" s="71"/>
      <c r="N675" s="71"/>
      <c r="O675" s="71"/>
    </row>
    <row r="676" spans="1:15" x14ac:dyDescent="0.35">
      <c r="A676" s="71"/>
      <c r="B676" s="71"/>
      <c r="C676" s="71"/>
      <c r="D676" s="71"/>
      <c r="E676" s="68"/>
      <c r="F676" s="68"/>
      <c r="G676" s="71"/>
      <c r="H676" s="71"/>
      <c r="I676" s="71"/>
      <c r="J676" s="71"/>
      <c r="K676" s="71"/>
      <c r="L676" s="71"/>
      <c r="M676" s="71"/>
      <c r="N676" s="71"/>
      <c r="O676" s="71"/>
    </row>
    <row r="677" spans="1:15" x14ac:dyDescent="0.35">
      <c r="A677" s="71"/>
      <c r="B677" s="71"/>
      <c r="C677" s="71"/>
      <c r="D677" s="71"/>
      <c r="E677" s="68"/>
      <c r="F677" s="68"/>
      <c r="G677" s="71"/>
      <c r="H677" s="71"/>
      <c r="I677" s="71"/>
      <c r="J677" s="71"/>
      <c r="K677" s="71"/>
      <c r="L677" s="71"/>
      <c r="M677" s="71"/>
      <c r="N677" s="71"/>
      <c r="O677" s="71"/>
    </row>
    <row r="678" spans="1:15" x14ac:dyDescent="0.35">
      <c r="A678" s="71"/>
      <c r="B678" s="71"/>
      <c r="C678" s="71"/>
      <c r="D678" s="71"/>
      <c r="E678" s="68"/>
      <c r="F678" s="68"/>
      <c r="G678" s="71"/>
      <c r="H678" s="71"/>
      <c r="I678" s="71"/>
      <c r="J678" s="71"/>
      <c r="K678" s="71"/>
      <c r="L678" s="71"/>
      <c r="M678" s="71"/>
      <c r="N678" s="71"/>
      <c r="O678" s="71"/>
    </row>
    <row r="679" spans="1:15" x14ac:dyDescent="0.35">
      <c r="A679" s="71"/>
      <c r="B679" s="71"/>
      <c r="C679" s="71"/>
      <c r="D679" s="71"/>
      <c r="E679" s="68"/>
      <c r="F679" s="68"/>
      <c r="G679" s="71"/>
      <c r="H679" s="71"/>
      <c r="I679" s="71"/>
      <c r="J679" s="71"/>
      <c r="K679" s="71"/>
      <c r="L679" s="71"/>
      <c r="M679" s="71"/>
      <c r="N679" s="71"/>
      <c r="O679" s="71"/>
    </row>
    <row r="680" spans="1:15" x14ac:dyDescent="0.35">
      <c r="A680" s="71"/>
      <c r="B680" s="71"/>
      <c r="C680" s="71"/>
      <c r="D680" s="71"/>
      <c r="E680" s="68"/>
      <c r="F680" s="68"/>
      <c r="G680" s="71"/>
      <c r="H680" s="71"/>
      <c r="I680" s="71"/>
      <c r="J680" s="71"/>
      <c r="K680" s="71"/>
      <c r="L680" s="71"/>
      <c r="M680" s="71"/>
      <c r="N680" s="71"/>
      <c r="O680" s="71"/>
    </row>
    <row r="681" spans="1:15" x14ac:dyDescent="0.35">
      <c r="A681" s="71"/>
      <c r="B681" s="71"/>
      <c r="C681" s="71"/>
      <c r="D681" s="71"/>
      <c r="E681" s="68"/>
      <c r="F681" s="68"/>
      <c r="G681" s="71"/>
      <c r="H681" s="71"/>
      <c r="I681" s="71"/>
      <c r="J681" s="71"/>
      <c r="K681" s="71"/>
      <c r="L681" s="71"/>
      <c r="M681" s="71"/>
      <c r="N681" s="71"/>
      <c r="O681" s="71"/>
    </row>
    <row r="682" spans="1:15" x14ac:dyDescent="0.35">
      <c r="A682" s="71"/>
      <c r="B682" s="71"/>
      <c r="C682" s="71"/>
      <c r="D682" s="71"/>
      <c r="E682" s="68"/>
      <c r="F682" s="68"/>
      <c r="G682" s="71"/>
      <c r="H682" s="71"/>
      <c r="I682" s="71"/>
      <c r="J682" s="71"/>
      <c r="K682" s="71"/>
      <c r="L682" s="71"/>
      <c r="M682" s="71"/>
      <c r="N682" s="71"/>
      <c r="O682" s="71"/>
    </row>
    <row r="683" spans="1:15" x14ac:dyDescent="0.35">
      <c r="A683" s="71"/>
      <c r="B683" s="71"/>
      <c r="C683" s="71"/>
      <c r="D683" s="71"/>
      <c r="E683" s="68"/>
      <c r="F683" s="68"/>
      <c r="G683" s="71"/>
      <c r="H683" s="71"/>
      <c r="I683" s="71"/>
      <c r="J683" s="71"/>
      <c r="K683" s="71"/>
      <c r="L683" s="71"/>
      <c r="M683" s="71"/>
      <c r="N683" s="71"/>
      <c r="O683" s="71"/>
    </row>
    <row r="684" spans="1:15" x14ac:dyDescent="0.35">
      <c r="A684" s="71"/>
      <c r="B684" s="71"/>
      <c r="C684" s="71"/>
      <c r="D684" s="71"/>
      <c r="E684" s="68"/>
      <c r="F684" s="68"/>
      <c r="G684" s="71"/>
      <c r="H684" s="71"/>
      <c r="I684" s="71"/>
      <c r="J684" s="71"/>
      <c r="K684" s="71"/>
      <c r="L684" s="71"/>
      <c r="M684" s="71"/>
      <c r="N684" s="71"/>
      <c r="O684" s="71"/>
    </row>
    <row r="685" spans="1:15" x14ac:dyDescent="0.35">
      <c r="A685" s="71"/>
      <c r="B685" s="71"/>
      <c r="C685" s="71"/>
      <c r="D685" s="71"/>
      <c r="E685" s="68"/>
      <c r="F685" s="68"/>
      <c r="G685" s="71"/>
      <c r="H685" s="71"/>
      <c r="I685" s="71"/>
      <c r="J685" s="71"/>
      <c r="K685" s="71"/>
      <c r="L685" s="71"/>
      <c r="M685" s="71"/>
      <c r="N685" s="71"/>
      <c r="O685" s="71"/>
    </row>
    <row r="686" spans="1:15" x14ac:dyDescent="0.35">
      <c r="A686" s="71"/>
      <c r="B686" s="71"/>
      <c r="C686" s="71"/>
      <c r="D686" s="71"/>
      <c r="E686" s="68"/>
      <c r="F686" s="68"/>
      <c r="G686" s="71"/>
      <c r="H686" s="71"/>
      <c r="I686" s="71"/>
      <c r="J686" s="71"/>
      <c r="K686" s="71"/>
      <c r="L686" s="71"/>
      <c r="M686" s="71"/>
      <c r="N686" s="71"/>
      <c r="O686" s="71"/>
    </row>
    <row r="687" spans="1:15" x14ac:dyDescent="0.35">
      <c r="A687" s="71"/>
      <c r="B687" s="71"/>
      <c r="C687" s="71"/>
      <c r="D687" s="71"/>
      <c r="E687" s="68"/>
      <c r="F687" s="68"/>
      <c r="G687" s="71"/>
      <c r="H687" s="71"/>
      <c r="I687" s="71"/>
      <c r="J687" s="71"/>
      <c r="K687" s="71"/>
      <c r="L687" s="71"/>
      <c r="M687" s="71"/>
      <c r="N687" s="71"/>
      <c r="O687" s="71"/>
    </row>
    <row r="688" spans="1:15" x14ac:dyDescent="0.35">
      <c r="A688" s="71"/>
      <c r="B688" s="71"/>
      <c r="C688" s="71"/>
      <c r="D688" s="71"/>
      <c r="E688" s="68"/>
      <c r="F688" s="68"/>
      <c r="G688" s="71"/>
      <c r="H688" s="71"/>
      <c r="I688" s="71"/>
      <c r="J688" s="71"/>
      <c r="K688" s="71"/>
      <c r="L688" s="71"/>
      <c r="M688" s="71"/>
      <c r="N688" s="71"/>
      <c r="O688" s="71"/>
    </row>
    <row r="689" spans="1:15" x14ac:dyDescent="0.35">
      <c r="A689" s="71"/>
      <c r="B689" s="71"/>
      <c r="C689" s="71"/>
      <c r="D689" s="71"/>
      <c r="E689" s="68"/>
      <c r="F689" s="68"/>
      <c r="G689" s="71"/>
      <c r="H689" s="71"/>
      <c r="I689" s="71"/>
      <c r="J689" s="71"/>
      <c r="K689" s="71"/>
      <c r="L689" s="71"/>
      <c r="M689" s="71"/>
      <c r="N689" s="71"/>
      <c r="O689" s="71"/>
    </row>
    <row r="690" spans="1:15" x14ac:dyDescent="0.35">
      <c r="A690" s="71"/>
      <c r="B690" s="71"/>
      <c r="C690" s="71"/>
      <c r="D690" s="71"/>
      <c r="E690" s="68"/>
      <c r="F690" s="68"/>
      <c r="G690" s="71"/>
      <c r="H690" s="71"/>
      <c r="I690" s="71"/>
      <c r="J690" s="71"/>
      <c r="K690" s="71"/>
      <c r="L690" s="71"/>
      <c r="M690" s="71"/>
      <c r="N690" s="71"/>
      <c r="O690" s="71"/>
    </row>
    <row r="691" spans="1:15" x14ac:dyDescent="0.35">
      <c r="A691" s="71"/>
      <c r="B691" s="71"/>
      <c r="C691" s="71"/>
      <c r="D691" s="71"/>
      <c r="E691" s="68"/>
      <c r="F691" s="68"/>
      <c r="G691" s="71"/>
      <c r="H691" s="71"/>
      <c r="I691" s="71"/>
      <c r="J691" s="71"/>
      <c r="K691" s="71"/>
      <c r="L691" s="71"/>
      <c r="M691" s="71"/>
      <c r="N691" s="71"/>
      <c r="O691" s="71"/>
    </row>
    <row r="692" spans="1:15" x14ac:dyDescent="0.35">
      <c r="A692" s="71"/>
      <c r="B692" s="71"/>
      <c r="C692" s="71"/>
      <c r="D692" s="71"/>
      <c r="E692" s="68"/>
      <c r="F692" s="68"/>
      <c r="G692" s="71"/>
      <c r="H692" s="71"/>
      <c r="I692" s="71"/>
      <c r="J692" s="71"/>
      <c r="K692" s="71"/>
      <c r="L692" s="71"/>
      <c r="M692" s="71"/>
      <c r="N692" s="71"/>
      <c r="O692" s="71"/>
    </row>
    <row r="693" spans="1:15" x14ac:dyDescent="0.35">
      <c r="A693" s="71"/>
      <c r="B693" s="71"/>
      <c r="C693" s="71"/>
      <c r="D693" s="71"/>
      <c r="E693" s="68"/>
      <c r="F693" s="68"/>
      <c r="G693" s="71"/>
      <c r="H693" s="71"/>
      <c r="I693" s="71"/>
      <c r="J693" s="71"/>
      <c r="K693" s="71"/>
      <c r="L693" s="71"/>
      <c r="M693" s="71"/>
      <c r="N693" s="71"/>
      <c r="O693" s="71"/>
    </row>
    <row r="694" spans="1:15" x14ac:dyDescent="0.35">
      <c r="A694" s="71"/>
      <c r="B694" s="71"/>
      <c r="C694" s="71"/>
      <c r="D694" s="71"/>
      <c r="E694" s="68"/>
      <c r="F694" s="68"/>
      <c r="G694" s="71"/>
      <c r="H694" s="71"/>
      <c r="I694" s="71"/>
      <c r="J694" s="71"/>
      <c r="K694" s="71"/>
      <c r="L694" s="71"/>
      <c r="M694" s="71"/>
      <c r="N694" s="71"/>
      <c r="O694" s="71"/>
    </row>
    <row r="695" spans="1:15" x14ac:dyDescent="0.35">
      <c r="A695" s="71"/>
      <c r="B695" s="71"/>
      <c r="C695" s="71"/>
      <c r="D695" s="71"/>
      <c r="E695" s="68"/>
      <c r="F695" s="68"/>
      <c r="G695" s="71"/>
      <c r="H695" s="71"/>
      <c r="I695" s="71"/>
      <c r="J695" s="71"/>
      <c r="K695" s="71"/>
      <c r="L695" s="71"/>
      <c r="M695" s="71"/>
      <c r="N695" s="71"/>
      <c r="O695" s="71"/>
    </row>
    <row r="696" spans="1:15" x14ac:dyDescent="0.35">
      <c r="A696" s="71"/>
      <c r="B696" s="71"/>
      <c r="C696" s="71"/>
      <c r="D696" s="71"/>
      <c r="E696" s="68"/>
      <c r="F696" s="68"/>
      <c r="G696" s="71"/>
      <c r="H696" s="71"/>
      <c r="I696" s="71"/>
      <c r="J696" s="71"/>
      <c r="K696" s="71"/>
      <c r="L696" s="71"/>
      <c r="M696" s="71"/>
      <c r="N696" s="71"/>
      <c r="O696" s="71"/>
    </row>
    <row r="697" spans="1:15" x14ac:dyDescent="0.35">
      <c r="A697" s="71"/>
      <c r="B697" s="71"/>
      <c r="C697" s="71"/>
      <c r="D697" s="71"/>
      <c r="E697" s="68"/>
      <c r="F697" s="68"/>
      <c r="G697" s="71"/>
      <c r="H697" s="71"/>
      <c r="I697" s="71"/>
      <c r="J697" s="71"/>
      <c r="K697" s="71"/>
      <c r="L697" s="71"/>
      <c r="M697" s="71"/>
      <c r="N697" s="71"/>
      <c r="O697" s="71"/>
    </row>
    <row r="698" spans="1:15" x14ac:dyDescent="0.35">
      <c r="A698" s="71"/>
      <c r="B698" s="71"/>
      <c r="C698" s="71"/>
      <c r="D698" s="71"/>
      <c r="E698" s="68"/>
      <c r="F698" s="68"/>
      <c r="G698" s="71"/>
      <c r="H698" s="71"/>
      <c r="I698" s="71"/>
      <c r="J698" s="71"/>
      <c r="K698" s="71"/>
      <c r="L698" s="71"/>
      <c r="M698" s="71"/>
      <c r="N698" s="71"/>
      <c r="O698" s="71"/>
    </row>
    <row r="699" spans="1:15" x14ac:dyDescent="0.35">
      <c r="A699" s="71"/>
      <c r="B699" s="71"/>
      <c r="C699" s="71"/>
      <c r="D699" s="71"/>
      <c r="E699" s="68"/>
      <c r="F699" s="68"/>
      <c r="G699" s="71"/>
      <c r="H699" s="71"/>
      <c r="I699" s="71"/>
      <c r="J699" s="71"/>
      <c r="K699" s="71"/>
      <c r="L699" s="71"/>
      <c r="M699" s="71"/>
      <c r="N699" s="71"/>
      <c r="O699" s="71"/>
    </row>
    <row r="700" spans="1:15" x14ac:dyDescent="0.35">
      <c r="A700" s="71"/>
      <c r="B700" s="71"/>
      <c r="C700" s="71"/>
      <c r="D700" s="71"/>
      <c r="E700" s="68"/>
      <c r="F700" s="68"/>
      <c r="G700" s="71"/>
      <c r="H700" s="71"/>
      <c r="I700" s="71"/>
      <c r="J700" s="71"/>
      <c r="K700" s="71"/>
      <c r="L700" s="71"/>
      <c r="M700" s="71"/>
      <c r="N700" s="71"/>
      <c r="O700" s="71"/>
    </row>
    <row r="701" spans="1:15" x14ac:dyDescent="0.35">
      <c r="A701" s="71"/>
      <c r="B701" s="71"/>
      <c r="C701" s="71"/>
      <c r="D701" s="71"/>
      <c r="E701" s="68"/>
      <c r="F701" s="68"/>
      <c r="G701" s="71"/>
      <c r="H701" s="71"/>
      <c r="I701" s="71"/>
      <c r="J701" s="71"/>
      <c r="K701" s="71"/>
      <c r="L701" s="71"/>
      <c r="M701" s="71"/>
      <c r="N701" s="71"/>
      <c r="O701" s="71"/>
    </row>
    <row r="702" spans="1:15" x14ac:dyDescent="0.35">
      <c r="A702" s="71"/>
      <c r="B702" s="71"/>
      <c r="C702" s="71"/>
      <c r="D702" s="71"/>
      <c r="E702" s="68"/>
      <c r="F702" s="68"/>
      <c r="G702" s="71"/>
      <c r="H702" s="71"/>
      <c r="I702" s="71"/>
      <c r="J702" s="71"/>
      <c r="K702" s="71"/>
      <c r="L702" s="71"/>
      <c r="M702" s="71"/>
      <c r="N702" s="71"/>
      <c r="O702" s="71"/>
    </row>
    <row r="703" spans="1:15" x14ac:dyDescent="0.35">
      <c r="A703" s="71"/>
      <c r="B703" s="71"/>
      <c r="C703" s="71"/>
      <c r="D703" s="71"/>
      <c r="E703" s="68"/>
      <c r="F703" s="68"/>
      <c r="G703" s="71"/>
      <c r="H703" s="71"/>
      <c r="I703" s="71"/>
      <c r="J703" s="71"/>
      <c r="K703" s="71"/>
      <c r="L703" s="71"/>
      <c r="M703" s="71"/>
      <c r="N703" s="71"/>
      <c r="O703" s="71"/>
    </row>
    <row r="704" spans="1:15" x14ac:dyDescent="0.35">
      <c r="A704" s="71"/>
      <c r="B704" s="71"/>
      <c r="C704" s="71"/>
      <c r="D704" s="71"/>
      <c r="E704" s="68"/>
      <c r="F704" s="68"/>
      <c r="G704" s="71"/>
      <c r="H704" s="71"/>
      <c r="I704" s="71"/>
      <c r="J704" s="71"/>
      <c r="K704" s="71"/>
      <c r="L704" s="71"/>
      <c r="M704" s="71"/>
      <c r="N704" s="71"/>
      <c r="O704" s="71"/>
    </row>
    <row r="705" spans="1:15" x14ac:dyDescent="0.35">
      <c r="A705" s="71"/>
      <c r="B705" s="71"/>
      <c r="C705" s="71"/>
      <c r="D705" s="71"/>
      <c r="E705" s="68"/>
      <c r="F705" s="68"/>
      <c r="G705" s="71"/>
      <c r="H705" s="71"/>
      <c r="I705" s="71"/>
      <c r="J705" s="71"/>
      <c r="K705" s="71"/>
      <c r="L705" s="71"/>
      <c r="M705" s="71"/>
      <c r="N705" s="71"/>
      <c r="O705" s="71"/>
    </row>
    <row r="706" spans="1:15" x14ac:dyDescent="0.35">
      <c r="A706" s="71"/>
      <c r="B706" s="71"/>
      <c r="C706" s="71"/>
      <c r="D706" s="71"/>
      <c r="E706" s="68"/>
      <c r="F706" s="68"/>
      <c r="G706" s="71"/>
      <c r="H706" s="71"/>
      <c r="I706" s="71"/>
      <c r="J706" s="71"/>
      <c r="K706" s="71"/>
      <c r="L706" s="71"/>
      <c r="M706" s="71"/>
      <c r="N706" s="71"/>
      <c r="O706" s="71"/>
    </row>
    <row r="707" spans="1:15" x14ac:dyDescent="0.35">
      <c r="A707" s="71"/>
      <c r="B707" s="71"/>
      <c r="C707" s="71"/>
      <c r="D707" s="71"/>
      <c r="E707" s="68"/>
      <c r="F707" s="68"/>
      <c r="G707" s="71"/>
      <c r="H707" s="71"/>
      <c r="I707" s="71"/>
      <c r="J707" s="71"/>
      <c r="K707" s="71"/>
      <c r="L707" s="71"/>
      <c r="M707" s="71"/>
      <c r="N707" s="71"/>
      <c r="O707" s="71"/>
    </row>
    <row r="708" spans="1:15" x14ac:dyDescent="0.35">
      <c r="A708" s="71"/>
      <c r="B708" s="71"/>
      <c r="C708" s="71"/>
      <c r="D708" s="71"/>
      <c r="E708" s="68"/>
      <c r="F708" s="68"/>
      <c r="G708" s="71"/>
      <c r="H708" s="71"/>
      <c r="I708" s="71"/>
      <c r="J708" s="71"/>
      <c r="K708" s="71"/>
      <c r="L708" s="71"/>
      <c r="M708" s="71"/>
      <c r="N708" s="71"/>
      <c r="O708" s="71"/>
    </row>
    <row r="709" spans="1:15" x14ac:dyDescent="0.35">
      <c r="A709" s="71"/>
      <c r="B709" s="71"/>
      <c r="C709" s="71"/>
      <c r="D709" s="71"/>
      <c r="E709" s="68"/>
      <c r="F709" s="68"/>
      <c r="G709" s="71"/>
      <c r="H709" s="71"/>
      <c r="I709" s="71"/>
      <c r="J709" s="71"/>
      <c r="K709" s="71"/>
      <c r="L709" s="71"/>
      <c r="M709" s="71"/>
      <c r="N709" s="71"/>
      <c r="O709" s="71"/>
    </row>
    <row r="710" spans="1:15" x14ac:dyDescent="0.35">
      <c r="A710" s="71"/>
      <c r="B710" s="71"/>
      <c r="C710" s="71"/>
      <c r="D710" s="71"/>
      <c r="E710" s="68"/>
      <c r="F710" s="68"/>
      <c r="G710" s="71"/>
      <c r="H710" s="71"/>
      <c r="I710" s="71"/>
      <c r="J710" s="71"/>
      <c r="K710" s="71"/>
      <c r="L710" s="71"/>
      <c r="M710" s="71"/>
      <c r="N710" s="71"/>
      <c r="O710" s="71"/>
    </row>
    <row r="711" spans="1:15" x14ac:dyDescent="0.35">
      <c r="A711" s="71"/>
      <c r="B711" s="71"/>
      <c r="C711" s="71"/>
      <c r="D711" s="71"/>
      <c r="E711" s="68"/>
      <c r="F711" s="68"/>
      <c r="G711" s="71"/>
      <c r="H711" s="71"/>
      <c r="I711" s="71"/>
      <c r="J711" s="71"/>
      <c r="K711" s="71"/>
      <c r="L711" s="71"/>
      <c r="M711" s="71"/>
      <c r="N711" s="71"/>
      <c r="O711" s="71"/>
    </row>
    <row r="712" spans="1:15" x14ac:dyDescent="0.35">
      <c r="A712" s="71"/>
      <c r="B712" s="71"/>
      <c r="C712" s="71"/>
      <c r="D712" s="71"/>
      <c r="E712" s="68"/>
      <c r="F712" s="68"/>
      <c r="G712" s="71"/>
      <c r="H712" s="71"/>
      <c r="I712" s="71"/>
      <c r="J712" s="71"/>
      <c r="K712" s="71"/>
      <c r="L712" s="71"/>
      <c r="M712" s="71"/>
      <c r="N712" s="71"/>
      <c r="O712" s="71"/>
    </row>
    <row r="713" spans="1:15" x14ac:dyDescent="0.35">
      <c r="A713" s="71"/>
      <c r="B713" s="71"/>
      <c r="C713" s="71"/>
      <c r="D713" s="71"/>
      <c r="E713" s="68"/>
      <c r="F713" s="68"/>
      <c r="G713" s="71"/>
      <c r="H713" s="71"/>
      <c r="I713" s="71"/>
      <c r="J713" s="71"/>
      <c r="K713" s="71"/>
      <c r="L713" s="71"/>
      <c r="M713" s="71"/>
      <c r="N713" s="71"/>
      <c r="O713" s="71"/>
    </row>
    <row r="714" spans="1:15" x14ac:dyDescent="0.35">
      <c r="A714" s="71"/>
      <c r="B714" s="71"/>
      <c r="C714" s="71"/>
      <c r="D714" s="71"/>
      <c r="E714" s="68"/>
      <c r="F714" s="68"/>
      <c r="G714" s="71"/>
      <c r="H714" s="71"/>
      <c r="I714" s="71"/>
      <c r="J714" s="71"/>
      <c r="K714" s="71"/>
      <c r="L714" s="71"/>
      <c r="M714" s="71"/>
      <c r="N714" s="71"/>
      <c r="O714" s="71"/>
    </row>
    <row r="715" spans="1:15" x14ac:dyDescent="0.35">
      <c r="A715" s="71"/>
      <c r="B715" s="71"/>
      <c r="C715" s="71"/>
      <c r="D715" s="71"/>
      <c r="E715" s="68"/>
      <c r="F715" s="68"/>
      <c r="G715" s="71"/>
      <c r="H715" s="71"/>
      <c r="I715" s="71"/>
      <c r="J715" s="71"/>
      <c r="K715" s="71"/>
      <c r="L715" s="71"/>
      <c r="M715" s="71"/>
      <c r="N715" s="71"/>
      <c r="O715" s="71"/>
    </row>
    <row r="716" spans="1:15" x14ac:dyDescent="0.35">
      <c r="A716" s="71"/>
      <c r="B716" s="71"/>
      <c r="C716" s="71"/>
      <c r="D716" s="71"/>
      <c r="E716" s="68"/>
      <c r="F716" s="68"/>
      <c r="G716" s="71"/>
      <c r="H716" s="71"/>
      <c r="I716" s="71"/>
      <c r="J716" s="71"/>
      <c r="K716" s="71"/>
      <c r="L716" s="71"/>
      <c r="M716" s="71"/>
      <c r="N716" s="71"/>
      <c r="O716" s="71"/>
    </row>
    <row r="717" spans="1:15" x14ac:dyDescent="0.35">
      <c r="A717" s="71"/>
      <c r="B717" s="71"/>
      <c r="C717" s="71"/>
      <c r="D717" s="71"/>
      <c r="E717" s="68"/>
      <c r="F717" s="68"/>
      <c r="G717" s="71"/>
      <c r="H717" s="71"/>
      <c r="I717" s="71"/>
      <c r="J717" s="71"/>
      <c r="K717" s="71"/>
      <c r="L717" s="71"/>
      <c r="M717" s="71"/>
      <c r="N717" s="71"/>
      <c r="O717" s="71"/>
    </row>
    <row r="718" spans="1:15" x14ac:dyDescent="0.35">
      <c r="A718" s="71"/>
      <c r="B718" s="71"/>
      <c r="C718" s="71"/>
      <c r="D718" s="71"/>
      <c r="E718" s="68"/>
      <c r="F718" s="68"/>
      <c r="G718" s="71"/>
      <c r="H718" s="71"/>
      <c r="I718" s="71"/>
      <c r="J718" s="71"/>
      <c r="K718" s="71"/>
      <c r="L718" s="71"/>
      <c r="M718" s="71"/>
      <c r="N718" s="71"/>
      <c r="O718" s="71"/>
    </row>
    <row r="719" spans="1:15" x14ac:dyDescent="0.35">
      <c r="A719" s="71"/>
      <c r="B719" s="71"/>
      <c r="C719" s="71"/>
      <c r="D719" s="71"/>
      <c r="E719" s="68"/>
      <c r="F719" s="68"/>
      <c r="G719" s="71"/>
      <c r="H719" s="71"/>
      <c r="I719" s="71"/>
      <c r="J719" s="71"/>
      <c r="K719" s="71"/>
      <c r="L719" s="71"/>
      <c r="M719" s="71"/>
      <c r="N719" s="71"/>
      <c r="O719" s="71"/>
    </row>
    <row r="720" spans="1:15" x14ac:dyDescent="0.35">
      <c r="A720" s="71"/>
      <c r="B720" s="71"/>
      <c r="C720" s="71"/>
      <c r="D720" s="71"/>
      <c r="E720" s="68"/>
      <c r="F720" s="68"/>
      <c r="G720" s="71"/>
      <c r="H720" s="71"/>
      <c r="I720" s="71"/>
      <c r="J720" s="71"/>
      <c r="K720" s="71"/>
      <c r="L720" s="71"/>
      <c r="M720" s="71"/>
      <c r="N720" s="71"/>
      <c r="O720" s="71"/>
    </row>
    <row r="721" spans="1:15" x14ac:dyDescent="0.35">
      <c r="A721" s="71"/>
      <c r="B721" s="71"/>
      <c r="C721" s="71"/>
      <c r="D721" s="71"/>
      <c r="E721" s="68"/>
      <c r="F721" s="68"/>
      <c r="G721" s="71"/>
      <c r="H721" s="71"/>
      <c r="I721" s="71"/>
      <c r="J721" s="71"/>
      <c r="K721" s="71"/>
      <c r="L721" s="71"/>
      <c r="M721" s="71"/>
      <c r="N721" s="71"/>
      <c r="O721" s="71"/>
    </row>
    <row r="722" spans="1:15" x14ac:dyDescent="0.35">
      <c r="A722" s="71"/>
      <c r="B722" s="71"/>
      <c r="C722" s="71"/>
      <c r="D722" s="71"/>
      <c r="E722" s="68"/>
      <c r="F722" s="68"/>
      <c r="G722" s="71"/>
      <c r="H722" s="71"/>
      <c r="I722" s="71"/>
      <c r="J722" s="71"/>
      <c r="K722" s="71"/>
      <c r="L722" s="71"/>
      <c r="M722" s="71"/>
      <c r="N722" s="71"/>
      <c r="O722" s="71"/>
    </row>
    <row r="723" spans="1:15" x14ac:dyDescent="0.35">
      <c r="A723" s="71"/>
      <c r="B723" s="71"/>
      <c r="C723" s="71"/>
      <c r="D723" s="71"/>
      <c r="E723" s="68"/>
      <c r="F723" s="68"/>
      <c r="G723" s="71"/>
      <c r="H723" s="71"/>
      <c r="I723" s="71"/>
      <c r="J723" s="71"/>
      <c r="K723" s="71"/>
      <c r="L723" s="71"/>
      <c r="M723" s="71"/>
      <c r="N723" s="71"/>
      <c r="O723" s="71"/>
    </row>
    <row r="724" spans="1:15" x14ac:dyDescent="0.35">
      <c r="A724" s="71"/>
      <c r="B724" s="71"/>
      <c r="C724" s="71"/>
      <c r="D724" s="71"/>
      <c r="E724" s="68"/>
      <c r="F724" s="68"/>
      <c r="G724" s="71"/>
      <c r="H724" s="71"/>
      <c r="I724" s="71"/>
      <c r="J724" s="71"/>
      <c r="K724" s="71"/>
      <c r="L724" s="71"/>
      <c r="M724" s="71"/>
      <c r="N724" s="71"/>
      <c r="O724" s="71"/>
    </row>
    <row r="725" spans="1:15" x14ac:dyDescent="0.35">
      <c r="A725" s="71"/>
      <c r="B725" s="71"/>
      <c r="C725" s="71"/>
      <c r="D725" s="71"/>
      <c r="E725" s="68"/>
      <c r="F725" s="68"/>
      <c r="G725" s="71"/>
      <c r="H725" s="71"/>
      <c r="I725" s="71"/>
      <c r="J725" s="71"/>
      <c r="K725" s="71"/>
      <c r="L725" s="71"/>
      <c r="M725" s="71"/>
      <c r="N725" s="71"/>
      <c r="O725" s="71"/>
    </row>
    <row r="726" spans="1:15" x14ac:dyDescent="0.35">
      <c r="A726" s="71"/>
      <c r="B726" s="71"/>
      <c r="C726" s="71"/>
      <c r="D726" s="71"/>
      <c r="E726" s="68"/>
      <c r="F726" s="68"/>
      <c r="G726" s="71"/>
      <c r="H726" s="71"/>
      <c r="I726" s="71"/>
      <c r="J726" s="71"/>
      <c r="K726" s="71"/>
      <c r="L726" s="71"/>
      <c r="M726" s="71"/>
      <c r="N726" s="71"/>
      <c r="O726" s="71"/>
    </row>
    <row r="727" spans="1:15" x14ac:dyDescent="0.35">
      <c r="A727" s="71"/>
      <c r="B727" s="71"/>
      <c r="C727" s="71"/>
      <c r="D727" s="71"/>
      <c r="E727" s="68"/>
      <c r="F727" s="68"/>
      <c r="G727" s="71"/>
      <c r="H727" s="71"/>
      <c r="I727" s="71"/>
      <c r="J727" s="71"/>
      <c r="K727" s="71"/>
      <c r="L727" s="71"/>
      <c r="M727" s="71"/>
      <c r="N727" s="71"/>
      <c r="O727" s="71"/>
    </row>
    <row r="728" spans="1:15" x14ac:dyDescent="0.35">
      <c r="A728" s="71"/>
      <c r="B728" s="71"/>
      <c r="C728" s="71"/>
      <c r="D728" s="71"/>
      <c r="E728" s="68"/>
      <c r="F728" s="68"/>
      <c r="G728" s="71"/>
      <c r="H728" s="71"/>
      <c r="I728" s="71"/>
      <c r="J728" s="71"/>
      <c r="K728" s="71"/>
      <c r="L728" s="71"/>
      <c r="M728" s="71"/>
      <c r="N728" s="71"/>
      <c r="O728" s="71"/>
    </row>
    <row r="729" spans="1:15" x14ac:dyDescent="0.35">
      <c r="A729" s="71"/>
      <c r="B729" s="71"/>
      <c r="C729" s="71"/>
      <c r="D729" s="71"/>
      <c r="E729" s="68"/>
      <c r="F729" s="68"/>
      <c r="G729" s="71"/>
      <c r="H729" s="71"/>
      <c r="I729" s="71"/>
      <c r="J729" s="71"/>
      <c r="K729" s="71"/>
      <c r="L729" s="71"/>
      <c r="M729" s="71"/>
      <c r="N729" s="71"/>
      <c r="O729" s="71"/>
    </row>
    <row r="730" spans="1:15" x14ac:dyDescent="0.35">
      <c r="A730" s="71"/>
      <c r="B730" s="71"/>
      <c r="C730" s="71"/>
      <c r="D730" s="71"/>
      <c r="E730" s="68"/>
      <c r="F730" s="68"/>
      <c r="G730" s="71"/>
      <c r="H730" s="71"/>
      <c r="I730" s="71"/>
      <c r="J730" s="71"/>
      <c r="K730" s="71"/>
      <c r="L730" s="71"/>
      <c r="M730" s="71"/>
      <c r="N730" s="71"/>
      <c r="O730" s="71"/>
    </row>
    <row r="731" spans="1:15" x14ac:dyDescent="0.35">
      <c r="A731" s="71"/>
      <c r="B731" s="71"/>
      <c r="C731" s="71"/>
      <c r="D731" s="71"/>
      <c r="E731" s="68"/>
      <c r="F731" s="68"/>
      <c r="G731" s="71"/>
      <c r="H731" s="71"/>
      <c r="I731" s="71"/>
      <c r="J731" s="71"/>
      <c r="K731" s="71"/>
      <c r="L731" s="71"/>
      <c r="M731" s="71"/>
      <c r="N731" s="71"/>
      <c r="O731" s="71"/>
    </row>
    <row r="732" spans="1:15" x14ac:dyDescent="0.35">
      <c r="A732" s="71"/>
      <c r="B732" s="71"/>
      <c r="C732" s="71"/>
      <c r="D732" s="71"/>
      <c r="E732" s="68"/>
      <c r="F732" s="68"/>
      <c r="G732" s="71"/>
      <c r="H732" s="71"/>
      <c r="I732" s="71"/>
      <c r="J732" s="71"/>
      <c r="K732" s="71"/>
      <c r="L732" s="71"/>
      <c r="M732" s="71"/>
      <c r="N732" s="71"/>
      <c r="O732" s="71"/>
    </row>
    <row r="733" spans="1:15" x14ac:dyDescent="0.35">
      <c r="A733" s="71"/>
      <c r="B733" s="71"/>
      <c r="C733" s="71"/>
      <c r="D733" s="71"/>
      <c r="E733" s="68"/>
      <c r="F733" s="68"/>
      <c r="G733" s="71"/>
      <c r="H733" s="71"/>
      <c r="I733" s="71"/>
      <c r="J733" s="71"/>
      <c r="K733" s="71"/>
      <c r="L733" s="71"/>
      <c r="M733" s="71"/>
      <c r="N733" s="71"/>
      <c r="O733" s="71"/>
    </row>
    <row r="734" spans="1:15" x14ac:dyDescent="0.35">
      <c r="A734" s="71"/>
      <c r="B734" s="71"/>
      <c r="C734" s="71"/>
      <c r="D734" s="71"/>
      <c r="E734" s="68"/>
      <c r="F734" s="68"/>
      <c r="G734" s="71"/>
      <c r="H734" s="71"/>
      <c r="I734" s="71"/>
      <c r="J734" s="71"/>
      <c r="K734" s="71"/>
      <c r="L734" s="71"/>
      <c r="M734" s="71"/>
      <c r="N734" s="71"/>
      <c r="O734" s="71"/>
    </row>
    <row r="735" spans="1:15" x14ac:dyDescent="0.35">
      <c r="A735" s="71"/>
      <c r="B735" s="71"/>
      <c r="C735" s="71"/>
      <c r="D735" s="71"/>
      <c r="E735" s="68"/>
      <c r="F735" s="68"/>
      <c r="G735" s="71"/>
      <c r="H735" s="71"/>
      <c r="I735" s="71"/>
      <c r="J735" s="71"/>
      <c r="K735" s="71"/>
      <c r="L735" s="71"/>
      <c r="M735" s="71"/>
      <c r="N735" s="71"/>
      <c r="O735" s="71"/>
    </row>
    <row r="736" spans="1:15" x14ac:dyDescent="0.35">
      <c r="A736" s="71"/>
      <c r="B736" s="71"/>
      <c r="C736" s="71"/>
      <c r="D736" s="71"/>
      <c r="E736" s="68"/>
      <c r="F736" s="68"/>
      <c r="G736" s="71"/>
      <c r="H736" s="71"/>
      <c r="I736" s="71"/>
      <c r="J736" s="71"/>
      <c r="K736" s="71"/>
      <c r="L736" s="71"/>
      <c r="M736" s="71"/>
      <c r="N736" s="71"/>
      <c r="O736" s="71"/>
    </row>
    <row r="737" spans="1:15" x14ac:dyDescent="0.35">
      <c r="A737" s="71"/>
      <c r="B737" s="71"/>
      <c r="C737" s="71"/>
      <c r="D737" s="71"/>
      <c r="E737" s="68"/>
      <c r="F737" s="68"/>
      <c r="G737" s="71"/>
      <c r="H737" s="71"/>
      <c r="I737" s="71"/>
      <c r="J737" s="71"/>
      <c r="K737" s="71"/>
      <c r="L737" s="71"/>
      <c r="M737" s="71"/>
      <c r="N737" s="71"/>
      <c r="O737" s="71"/>
    </row>
    <row r="738" spans="1:15" x14ac:dyDescent="0.35">
      <c r="A738" s="71"/>
      <c r="B738" s="71"/>
      <c r="C738" s="71"/>
      <c r="D738" s="71"/>
      <c r="E738" s="68"/>
      <c r="F738" s="68"/>
      <c r="G738" s="71"/>
      <c r="H738" s="71"/>
      <c r="I738" s="71"/>
      <c r="J738" s="71"/>
      <c r="K738" s="71"/>
      <c r="L738" s="71"/>
      <c r="M738" s="71"/>
      <c r="N738" s="71"/>
      <c r="O738" s="71"/>
    </row>
    <row r="739" spans="1:15" x14ac:dyDescent="0.35">
      <c r="A739" s="71"/>
      <c r="B739" s="71"/>
      <c r="C739" s="71"/>
      <c r="D739" s="71"/>
      <c r="E739" s="68"/>
      <c r="F739" s="68"/>
      <c r="G739" s="71"/>
      <c r="H739" s="71"/>
      <c r="I739" s="71"/>
      <c r="J739" s="71"/>
      <c r="K739" s="71"/>
      <c r="L739" s="71"/>
      <c r="M739" s="71"/>
      <c r="N739" s="71"/>
      <c r="O739" s="71"/>
    </row>
    <row r="740" spans="1:15" x14ac:dyDescent="0.35">
      <c r="A740" s="71"/>
      <c r="B740" s="71"/>
      <c r="C740" s="71"/>
      <c r="D740" s="71"/>
      <c r="E740" s="68"/>
      <c r="F740" s="68"/>
      <c r="G740" s="71"/>
      <c r="H740" s="71"/>
      <c r="I740" s="71"/>
      <c r="J740" s="71"/>
      <c r="K740" s="71"/>
      <c r="L740" s="71"/>
      <c r="M740" s="71"/>
      <c r="N740" s="71"/>
      <c r="O740" s="71"/>
    </row>
    <row r="741" spans="1:15" x14ac:dyDescent="0.35">
      <c r="A741" s="71"/>
      <c r="B741" s="71"/>
      <c r="C741" s="71"/>
      <c r="D741" s="71"/>
      <c r="E741" s="68"/>
      <c r="F741" s="68"/>
      <c r="G741" s="71"/>
      <c r="H741" s="71"/>
      <c r="I741" s="71"/>
      <c r="J741" s="71"/>
      <c r="K741" s="71"/>
      <c r="L741" s="71"/>
      <c r="M741" s="71"/>
      <c r="N741" s="71"/>
      <c r="O741" s="71"/>
    </row>
    <row r="742" spans="1:15" x14ac:dyDescent="0.35">
      <c r="A742" s="71"/>
      <c r="B742" s="71"/>
      <c r="C742" s="71"/>
      <c r="D742" s="71"/>
      <c r="E742" s="68"/>
      <c r="F742" s="68"/>
      <c r="G742" s="71"/>
      <c r="H742" s="71"/>
      <c r="I742" s="71"/>
      <c r="J742" s="71"/>
      <c r="K742" s="71"/>
      <c r="L742" s="71"/>
      <c r="M742" s="71"/>
      <c r="N742" s="71"/>
      <c r="O742" s="71"/>
    </row>
    <row r="743" spans="1:15" x14ac:dyDescent="0.35">
      <c r="A743" s="71"/>
      <c r="B743" s="71"/>
      <c r="C743" s="71"/>
      <c r="D743" s="71"/>
      <c r="E743" s="68"/>
      <c r="F743" s="68"/>
      <c r="G743" s="71"/>
      <c r="H743" s="71"/>
      <c r="I743" s="71"/>
      <c r="J743" s="71"/>
      <c r="K743" s="71"/>
      <c r="L743" s="71"/>
      <c r="M743" s="71"/>
      <c r="N743" s="71"/>
      <c r="O743" s="71"/>
    </row>
    <row r="744" spans="1:15" x14ac:dyDescent="0.35">
      <c r="A744" s="71"/>
      <c r="B744" s="71"/>
      <c r="C744" s="71"/>
      <c r="D744" s="71"/>
      <c r="E744" s="68"/>
      <c r="F744" s="68"/>
      <c r="G744" s="71"/>
      <c r="H744" s="71"/>
      <c r="I744" s="71"/>
      <c r="J744" s="71"/>
      <c r="K744" s="71"/>
      <c r="L744" s="71"/>
      <c r="M744" s="71"/>
      <c r="N744" s="71"/>
      <c r="O744" s="71"/>
    </row>
    <row r="745" spans="1:15" x14ac:dyDescent="0.35">
      <c r="A745" s="71"/>
      <c r="B745" s="71"/>
      <c r="C745" s="71"/>
      <c r="D745" s="71"/>
      <c r="E745" s="68"/>
      <c r="F745" s="68"/>
      <c r="G745" s="71"/>
      <c r="H745" s="71"/>
      <c r="I745" s="71"/>
      <c r="J745" s="71"/>
      <c r="K745" s="71"/>
      <c r="L745" s="71"/>
      <c r="M745" s="71"/>
      <c r="N745" s="71"/>
      <c r="O745" s="71"/>
    </row>
    <row r="746" spans="1:15" x14ac:dyDescent="0.35">
      <c r="A746" s="71"/>
      <c r="B746" s="71"/>
      <c r="C746" s="71"/>
      <c r="D746" s="71"/>
      <c r="E746" s="68"/>
      <c r="F746" s="68"/>
      <c r="G746" s="71"/>
      <c r="H746" s="71"/>
      <c r="I746" s="71"/>
      <c r="J746" s="71"/>
      <c r="K746" s="71"/>
      <c r="L746" s="71"/>
      <c r="M746" s="71"/>
      <c r="N746" s="71"/>
      <c r="O746" s="71"/>
    </row>
    <row r="747" spans="1:15" x14ac:dyDescent="0.35">
      <c r="A747" s="71"/>
      <c r="B747" s="71"/>
      <c r="C747" s="71"/>
      <c r="D747" s="71"/>
      <c r="E747" s="68"/>
      <c r="F747" s="68"/>
      <c r="G747" s="71"/>
      <c r="H747" s="71"/>
      <c r="I747" s="71"/>
      <c r="J747" s="71"/>
      <c r="K747" s="71"/>
      <c r="L747" s="71"/>
      <c r="M747" s="71"/>
      <c r="N747" s="71"/>
      <c r="O747" s="71"/>
    </row>
    <row r="748" spans="1:15" x14ac:dyDescent="0.35">
      <c r="A748" s="71"/>
      <c r="B748" s="71"/>
      <c r="C748" s="71"/>
      <c r="D748" s="71"/>
      <c r="E748" s="68"/>
      <c r="F748" s="68"/>
      <c r="G748" s="71"/>
      <c r="H748" s="71"/>
      <c r="I748" s="71"/>
      <c r="J748" s="71"/>
      <c r="K748" s="71"/>
      <c r="L748" s="71"/>
      <c r="M748" s="71"/>
      <c r="N748" s="71"/>
      <c r="O748" s="71"/>
    </row>
    <row r="749" spans="1:15" x14ac:dyDescent="0.35">
      <c r="A749" s="71"/>
      <c r="B749" s="71"/>
      <c r="C749" s="71"/>
      <c r="D749" s="71"/>
      <c r="E749" s="68"/>
      <c r="F749" s="68"/>
      <c r="G749" s="71"/>
      <c r="H749" s="71"/>
      <c r="I749" s="71"/>
      <c r="J749" s="71"/>
      <c r="K749" s="71"/>
      <c r="L749" s="71"/>
      <c r="M749" s="71"/>
      <c r="N749" s="71"/>
      <c r="O749" s="71"/>
    </row>
    <row r="750" spans="1:15" x14ac:dyDescent="0.35">
      <c r="A750" s="71"/>
      <c r="B750" s="71"/>
      <c r="C750" s="71"/>
      <c r="D750" s="71"/>
      <c r="E750" s="68"/>
      <c r="F750" s="68"/>
      <c r="G750" s="71"/>
      <c r="H750" s="71"/>
      <c r="I750" s="71"/>
      <c r="J750" s="71"/>
      <c r="K750" s="71"/>
      <c r="L750" s="71"/>
      <c r="M750" s="71"/>
      <c r="N750" s="71"/>
      <c r="O750" s="71"/>
    </row>
    <row r="751" spans="1:15" x14ac:dyDescent="0.35">
      <c r="A751" s="71"/>
      <c r="B751" s="71"/>
      <c r="C751" s="71"/>
      <c r="D751" s="71"/>
      <c r="E751" s="68"/>
      <c r="F751" s="68"/>
      <c r="G751" s="71"/>
      <c r="H751" s="71"/>
      <c r="I751" s="71"/>
      <c r="J751" s="71"/>
      <c r="K751" s="71"/>
      <c r="L751" s="71"/>
      <c r="M751" s="71"/>
      <c r="N751" s="71"/>
      <c r="O751" s="71"/>
    </row>
    <row r="752" spans="1:15" x14ac:dyDescent="0.35">
      <c r="A752" s="71"/>
      <c r="B752" s="71"/>
      <c r="C752" s="71"/>
      <c r="D752" s="71"/>
      <c r="E752" s="68"/>
      <c r="F752" s="68"/>
      <c r="G752" s="71"/>
      <c r="H752" s="71"/>
      <c r="I752" s="71"/>
      <c r="J752" s="71"/>
      <c r="K752" s="71"/>
      <c r="L752" s="71"/>
      <c r="M752" s="71"/>
      <c r="N752" s="71"/>
      <c r="O752" s="71"/>
    </row>
    <row r="753" spans="1:15" x14ac:dyDescent="0.35">
      <c r="A753" s="71"/>
      <c r="B753" s="71"/>
      <c r="C753" s="71"/>
      <c r="D753" s="71"/>
      <c r="E753" s="68"/>
      <c r="F753" s="68"/>
      <c r="G753" s="71"/>
      <c r="H753" s="71"/>
      <c r="I753" s="71"/>
      <c r="J753" s="71"/>
      <c r="K753" s="71"/>
      <c r="L753" s="71"/>
      <c r="M753" s="71"/>
      <c r="N753" s="71"/>
      <c r="O753" s="71"/>
    </row>
    <row r="754" spans="1:15" x14ac:dyDescent="0.35">
      <c r="A754" s="71"/>
      <c r="B754" s="71"/>
      <c r="C754" s="71"/>
      <c r="D754" s="71"/>
      <c r="E754" s="68"/>
      <c r="F754" s="68"/>
      <c r="G754" s="71"/>
      <c r="H754" s="71"/>
      <c r="I754" s="71"/>
      <c r="J754" s="71"/>
      <c r="K754" s="71"/>
      <c r="L754" s="71"/>
      <c r="M754" s="71"/>
      <c r="N754" s="71"/>
      <c r="O754" s="71"/>
    </row>
    <row r="755" spans="1:15" x14ac:dyDescent="0.35">
      <c r="A755" s="71"/>
      <c r="B755" s="71"/>
      <c r="C755" s="71"/>
      <c r="D755" s="71"/>
      <c r="E755" s="68"/>
      <c r="F755" s="68"/>
      <c r="G755" s="71"/>
      <c r="H755" s="71"/>
      <c r="I755" s="71"/>
      <c r="J755" s="71"/>
      <c r="K755" s="71"/>
      <c r="L755" s="71"/>
      <c r="M755" s="71"/>
      <c r="N755" s="71"/>
      <c r="O755" s="71"/>
    </row>
    <row r="756" spans="1:15" x14ac:dyDescent="0.35">
      <c r="A756" s="71"/>
      <c r="B756" s="71"/>
      <c r="C756" s="71"/>
      <c r="D756" s="71"/>
      <c r="E756" s="68"/>
      <c r="F756" s="68"/>
      <c r="G756" s="71"/>
      <c r="H756" s="71"/>
      <c r="I756" s="71"/>
      <c r="J756" s="71"/>
      <c r="K756" s="71"/>
      <c r="L756" s="71"/>
      <c r="M756" s="71"/>
      <c r="N756" s="71"/>
      <c r="O756" s="71"/>
    </row>
    <row r="757" spans="1:15" x14ac:dyDescent="0.35">
      <c r="A757" s="71"/>
      <c r="B757" s="71"/>
      <c r="C757" s="71"/>
      <c r="D757" s="71"/>
      <c r="E757" s="68"/>
      <c r="F757" s="68"/>
      <c r="G757" s="71"/>
      <c r="H757" s="71"/>
      <c r="I757" s="71"/>
      <c r="J757" s="71"/>
      <c r="K757" s="71"/>
      <c r="L757" s="71"/>
      <c r="M757" s="71"/>
      <c r="N757" s="71"/>
      <c r="O757" s="71"/>
    </row>
    <row r="758" spans="1:15" x14ac:dyDescent="0.35">
      <c r="A758" s="71"/>
      <c r="B758" s="71"/>
      <c r="C758" s="71"/>
      <c r="D758" s="71"/>
      <c r="E758" s="68"/>
      <c r="F758" s="68"/>
      <c r="G758" s="71"/>
      <c r="H758" s="71"/>
      <c r="I758" s="71"/>
      <c r="J758" s="71"/>
      <c r="K758" s="71"/>
      <c r="L758" s="71"/>
      <c r="M758" s="71"/>
      <c r="N758" s="71"/>
      <c r="O758" s="71"/>
    </row>
    <row r="759" spans="1:15" x14ac:dyDescent="0.35">
      <c r="A759" s="71"/>
      <c r="B759" s="71"/>
      <c r="C759" s="71"/>
      <c r="D759" s="71"/>
      <c r="E759" s="68"/>
      <c r="F759" s="68"/>
      <c r="G759" s="71"/>
      <c r="H759" s="71"/>
      <c r="I759" s="71"/>
      <c r="J759" s="71"/>
      <c r="K759" s="71"/>
      <c r="L759" s="71"/>
      <c r="M759" s="71"/>
      <c r="N759" s="71"/>
      <c r="O759" s="71"/>
    </row>
    <row r="760" spans="1:15" x14ac:dyDescent="0.35">
      <c r="A760" s="71"/>
      <c r="B760" s="71"/>
      <c r="C760" s="71"/>
      <c r="D760" s="71"/>
      <c r="E760" s="68"/>
      <c r="F760" s="68"/>
      <c r="G760" s="71"/>
      <c r="H760" s="71"/>
      <c r="I760" s="71"/>
      <c r="J760" s="71"/>
      <c r="K760" s="71"/>
      <c r="L760" s="71"/>
      <c r="M760" s="71"/>
      <c r="N760" s="71"/>
      <c r="O760" s="71"/>
    </row>
    <row r="761" spans="1:15" x14ac:dyDescent="0.35">
      <c r="A761" s="71"/>
      <c r="B761" s="71"/>
      <c r="C761" s="71"/>
      <c r="D761" s="71"/>
      <c r="E761" s="68"/>
      <c r="F761" s="68"/>
      <c r="G761" s="71"/>
      <c r="H761" s="71"/>
      <c r="I761" s="71"/>
      <c r="J761" s="71"/>
      <c r="K761" s="71"/>
      <c r="L761" s="71"/>
      <c r="M761" s="71"/>
      <c r="N761" s="71"/>
      <c r="O761" s="71"/>
    </row>
    <row r="762" spans="1:15" x14ac:dyDescent="0.35">
      <c r="A762" s="71"/>
      <c r="B762" s="71"/>
      <c r="C762" s="71"/>
      <c r="D762" s="71"/>
      <c r="E762" s="68"/>
      <c r="F762" s="68"/>
      <c r="G762" s="71"/>
      <c r="H762" s="71"/>
      <c r="I762" s="71"/>
      <c r="J762" s="71"/>
      <c r="K762" s="71"/>
      <c r="L762" s="71"/>
      <c r="M762" s="71"/>
      <c r="N762" s="71"/>
      <c r="O762" s="71"/>
    </row>
    <row r="763" spans="1:15" x14ac:dyDescent="0.35">
      <c r="A763" s="71"/>
      <c r="B763" s="71"/>
      <c r="C763" s="71"/>
      <c r="D763" s="71"/>
      <c r="E763" s="68"/>
      <c r="F763" s="68"/>
      <c r="G763" s="71"/>
      <c r="H763" s="71"/>
      <c r="I763" s="71"/>
      <c r="J763" s="71"/>
      <c r="K763" s="71"/>
      <c r="L763" s="71"/>
      <c r="M763" s="71"/>
      <c r="N763" s="71"/>
      <c r="O763" s="71"/>
    </row>
    <row r="764" spans="1:15" x14ac:dyDescent="0.35">
      <c r="A764" s="71"/>
      <c r="B764" s="71"/>
      <c r="C764" s="71"/>
      <c r="D764" s="71"/>
      <c r="E764" s="68"/>
      <c r="F764" s="68"/>
      <c r="G764" s="71"/>
      <c r="H764" s="71"/>
      <c r="I764" s="71"/>
      <c r="J764" s="71"/>
      <c r="K764" s="71"/>
      <c r="L764" s="71"/>
      <c r="M764" s="71"/>
      <c r="N764" s="71"/>
      <c r="O764" s="71"/>
    </row>
    <row r="765" spans="1:15" x14ac:dyDescent="0.35">
      <c r="A765" s="71"/>
      <c r="B765" s="71"/>
      <c r="C765" s="71"/>
      <c r="D765" s="71"/>
      <c r="E765" s="68"/>
      <c r="F765" s="68"/>
      <c r="G765" s="71"/>
      <c r="H765" s="71"/>
      <c r="I765" s="71"/>
      <c r="J765" s="71"/>
      <c r="K765" s="71"/>
      <c r="L765" s="71"/>
      <c r="M765" s="71"/>
      <c r="N765" s="71"/>
      <c r="O765" s="71"/>
    </row>
    <row r="766" spans="1:15" x14ac:dyDescent="0.35">
      <c r="A766" s="71"/>
      <c r="B766" s="71"/>
      <c r="C766" s="71"/>
      <c r="D766" s="71"/>
      <c r="E766" s="68"/>
      <c r="F766" s="68"/>
      <c r="G766" s="71"/>
      <c r="H766" s="71"/>
      <c r="I766" s="71"/>
      <c r="J766" s="71"/>
      <c r="K766" s="71"/>
      <c r="L766" s="71"/>
      <c r="M766" s="71"/>
      <c r="N766" s="71"/>
      <c r="O766" s="71"/>
    </row>
    <row r="767" spans="1:15" x14ac:dyDescent="0.35">
      <c r="A767" s="71"/>
      <c r="B767" s="71"/>
      <c r="C767" s="71"/>
      <c r="D767" s="71"/>
      <c r="E767" s="68"/>
      <c r="F767" s="68"/>
      <c r="G767" s="71"/>
      <c r="H767" s="71"/>
      <c r="I767" s="71"/>
      <c r="J767" s="71"/>
      <c r="K767" s="71"/>
      <c r="L767" s="71"/>
      <c r="M767" s="71"/>
      <c r="N767" s="71"/>
      <c r="O767" s="71"/>
    </row>
    <row r="768" spans="1:15" x14ac:dyDescent="0.35">
      <c r="A768" s="71"/>
      <c r="B768" s="71"/>
      <c r="C768" s="71"/>
      <c r="D768" s="71"/>
      <c r="E768" s="68"/>
      <c r="F768" s="68"/>
      <c r="G768" s="71"/>
      <c r="H768" s="71"/>
      <c r="I768" s="71"/>
      <c r="J768" s="71"/>
      <c r="K768" s="71"/>
      <c r="L768" s="71"/>
      <c r="M768" s="71"/>
      <c r="N768" s="71"/>
      <c r="O768" s="71"/>
    </row>
    <row r="769" spans="1:15" x14ac:dyDescent="0.35">
      <c r="A769" s="71"/>
      <c r="B769" s="71"/>
      <c r="C769" s="71"/>
      <c r="D769" s="71"/>
      <c r="E769" s="68"/>
      <c r="F769" s="68"/>
      <c r="G769" s="71"/>
      <c r="H769" s="71"/>
      <c r="I769" s="71"/>
      <c r="J769" s="71"/>
      <c r="K769" s="71"/>
      <c r="L769" s="71"/>
      <c r="M769" s="71"/>
      <c r="N769" s="71"/>
      <c r="O769" s="71"/>
    </row>
    <row r="770" spans="1:15" x14ac:dyDescent="0.35">
      <c r="A770" s="71"/>
      <c r="B770" s="71"/>
      <c r="C770" s="71"/>
      <c r="D770" s="71"/>
      <c r="E770" s="68"/>
      <c r="F770" s="68"/>
      <c r="G770" s="71"/>
      <c r="H770" s="71"/>
      <c r="I770" s="71"/>
      <c r="J770" s="71"/>
      <c r="K770" s="71"/>
      <c r="L770" s="71"/>
      <c r="M770" s="71"/>
      <c r="N770" s="71"/>
      <c r="O770" s="71"/>
    </row>
    <row r="771" spans="1:15" x14ac:dyDescent="0.35">
      <c r="A771" s="71"/>
      <c r="B771" s="71"/>
      <c r="C771" s="71"/>
      <c r="D771" s="71"/>
      <c r="E771" s="68"/>
      <c r="F771" s="68"/>
      <c r="G771" s="71"/>
      <c r="H771" s="71"/>
      <c r="I771" s="71"/>
      <c r="J771" s="71"/>
      <c r="K771" s="71"/>
      <c r="L771" s="71"/>
      <c r="M771" s="71"/>
      <c r="N771" s="71"/>
      <c r="O771" s="71"/>
    </row>
    <row r="772" spans="1:15" x14ac:dyDescent="0.35">
      <c r="A772" s="71"/>
      <c r="B772" s="71"/>
      <c r="C772" s="71"/>
      <c r="D772" s="71"/>
      <c r="E772" s="68"/>
      <c r="F772" s="68"/>
      <c r="G772" s="71"/>
      <c r="H772" s="71"/>
      <c r="I772" s="71"/>
      <c r="J772" s="71"/>
      <c r="K772" s="71"/>
      <c r="L772" s="71"/>
      <c r="M772" s="71"/>
      <c r="N772" s="71"/>
      <c r="O772" s="71"/>
    </row>
    <row r="773" spans="1:15" x14ac:dyDescent="0.35">
      <c r="A773" s="71"/>
      <c r="B773" s="71"/>
      <c r="C773" s="71"/>
      <c r="D773" s="71"/>
      <c r="E773" s="68"/>
      <c r="F773" s="68"/>
      <c r="G773" s="71"/>
      <c r="H773" s="71"/>
      <c r="I773" s="71"/>
      <c r="J773" s="71"/>
      <c r="K773" s="71"/>
      <c r="L773" s="71"/>
      <c r="M773" s="71"/>
      <c r="N773" s="71"/>
      <c r="O773" s="71"/>
    </row>
    <row r="774" spans="1:15" x14ac:dyDescent="0.35">
      <c r="A774" s="71"/>
      <c r="B774" s="71"/>
      <c r="C774" s="71"/>
      <c r="D774" s="71"/>
      <c r="E774" s="68"/>
      <c r="F774" s="68"/>
      <c r="G774" s="71"/>
      <c r="H774" s="71"/>
      <c r="I774" s="71"/>
      <c r="J774" s="71"/>
      <c r="K774" s="71"/>
      <c r="L774" s="71"/>
      <c r="M774" s="71"/>
      <c r="N774" s="71"/>
      <c r="O774" s="71"/>
    </row>
    <row r="775" spans="1:15" x14ac:dyDescent="0.35">
      <c r="A775" s="71"/>
      <c r="B775" s="71"/>
      <c r="C775" s="71"/>
      <c r="D775" s="71"/>
      <c r="E775" s="68"/>
      <c r="F775" s="68"/>
      <c r="G775" s="71"/>
      <c r="H775" s="71"/>
      <c r="I775" s="71"/>
      <c r="J775" s="71"/>
      <c r="K775" s="71"/>
      <c r="L775" s="71"/>
      <c r="M775" s="71"/>
      <c r="N775" s="71"/>
      <c r="O775" s="71"/>
    </row>
    <row r="776" spans="1:15" x14ac:dyDescent="0.35">
      <c r="A776" s="71"/>
      <c r="B776" s="71"/>
      <c r="C776" s="71"/>
      <c r="D776" s="71"/>
      <c r="E776" s="68"/>
      <c r="F776" s="68"/>
      <c r="G776" s="71"/>
      <c r="H776" s="71"/>
      <c r="I776" s="71"/>
      <c r="J776" s="71"/>
      <c r="K776" s="71"/>
      <c r="L776" s="71"/>
      <c r="M776" s="71"/>
      <c r="N776" s="71"/>
      <c r="O776" s="71"/>
    </row>
    <row r="777" spans="1:15" x14ac:dyDescent="0.35">
      <c r="A777" s="71"/>
      <c r="B777" s="71"/>
      <c r="C777" s="71"/>
      <c r="D777" s="71"/>
      <c r="E777" s="68"/>
      <c r="F777" s="68"/>
      <c r="G777" s="71"/>
      <c r="H777" s="71"/>
      <c r="I777" s="71"/>
      <c r="J777" s="71"/>
      <c r="K777" s="71"/>
      <c r="L777" s="71"/>
      <c r="M777" s="71"/>
      <c r="N777" s="71"/>
      <c r="O777" s="71"/>
    </row>
    <row r="778" spans="1:15" x14ac:dyDescent="0.35">
      <c r="A778" s="71"/>
      <c r="B778" s="71"/>
      <c r="C778" s="71"/>
      <c r="D778" s="71"/>
      <c r="E778" s="68"/>
      <c r="F778" s="68"/>
      <c r="G778" s="71"/>
      <c r="H778" s="71"/>
      <c r="I778" s="71"/>
      <c r="J778" s="71"/>
      <c r="K778" s="71"/>
      <c r="L778" s="71"/>
      <c r="M778" s="71"/>
      <c r="N778" s="71"/>
      <c r="O778" s="71"/>
    </row>
    <row r="779" spans="1:15" x14ac:dyDescent="0.35">
      <c r="A779" s="71"/>
      <c r="B779" s="71"/>
      <c r="C779" s="71"/>
      <c r="D779" s="71"/>
      <c r="E779" s="68"/>
      <c r="F779" s="68"/>
      <c r="G779" s="71"/>
      <c r="H779" s="71"/>
      <c r="I779" s="71"/>
      <c r="J779" s="71"/>
      <c r="K779" s="71"/>
      <c r="L779" s="71"/>
      <c r="M779" s="71"/>
      <c r="N779" s="71"/>
      <c r="O779" s="71"/>
    </row>
    <row r="780" spans="1:15" x14ac:dyDescent="0.35">
      <c r="A780" s="71"/>
      <c r="B780" s="71"/>
      <c r="C780" s="71"/>
      <c r="D780" s="71"/>
      <c r="E780" s="68"/>
      <c r="F780" s="68"/>
      <c r="G780" s="71"/>
      <c r="H780" s="71"/>
      <c r="I780" s="71"/>
      <c r="J780" s="71"/>
      <c r="K780" s="71"/>
      <c r="L780" s="71"/>
      <c r="M780" s="71"/>
      <c r="N780" s="71"/>
      <c r="O780" s="71"/>
    </row>
    <row r="781" spans="1:15" x14ac:dyDescent="0.35">
      <c r="A781" s="71"/>
      <c r="B781" s="71"/>
      <c r="C781" s="71"/>
      <c r="D781" s="71"/>
      <c r="E781" s="68"/>
      <c r="F781" s="68"/>
      <c r="G781" s="71"/>
      <c r="H781" s="71"/>
      <c r="I781" s="71"/>
      <c r="J781" s="71"/>
      <c r="K781" s="71"/>
      <c r="L781" s="71"/>
      <c r="M781" s="71"/>
      <c r="N781" s="71"/>
      <c r="O781" s="71"/>
    </row>
    <row r="782" spans="1:15" x14ac:dyDescent="0.35">
      <c r="A782" s="71"/>
      <c r="B782" s="71"/>
      <c r="C782" s="71"/>
      <c r="D782" s="71"/>
      <c r="E782" s="68"/>
      <c r="F782" s="68"/>
      <c r="G782" s="71"/>
      <c r="H782" s="71"/>
      <c r="I782" s="71"/>
      <c r="J782" s="71"/>
      <c r="K782" s="71"/>
      <c r="L782" s="71"/>
      <c r="M782" s="71"/>
      <c r="N782" s="71"/>
      <c r="O782" s="71"/>
    </row>
    <row r="783" spans="1:15" x14ac:dyDescent="0.35">
      <c r="A783" s="71"/>
      <c r="B783" s="71"/>
      <c r="C783" s="71"/>
      <c r="D783" s="71"/>
      <c r="E783" s="68"/>
      <c r="F783" s="68"/>
      <c r="G783" s="71"/>
      <c r="H783" s="71"/>
      <c r="I783" s="71"/>
      <c r="J783" s="71"/>
      <c r="K783" s="71"/>
      <c r="L783" s="71"/>
      <c r="M783" s="71"/>
      <c r="N783" s="71"/>
      <c r="O783" s="71"/>
    </row>
    <row r="784" spans="1:15" x14ac:dyDescent="0.35">
      <c r="A784" s="71"/>
      <c r="B784" s="71"/>
      <c r="C784" s="71"/>
      <c r="D784" s="71"/>
      <c r="E784" s="68"/>
      <c r="F784" s="68"/>
      <c r="G784" s="71"/>
      <c r="H784" s="71"/>
      <c r="I784" s="71"/>
      <c r="J784" s="71"/>
      <c r="K784" s="71"/>
      <c r="L784" s="71"/>
      <c r="M784" s="71"/>
      <c r="N784" s="71"/>
      <c r="O784" s="71"/>
    </row>
    <row r="785" spans="1:15" x14ac:dyDescent="0.35">
      <c r="A785" s="71"/>
      <c r="B785" s="71"/>
      <c r="C785" s="71"/>
      <c r="D785" s="71"/>
      <c r="E785" s="68"/>
      <c r="F785" s="68"/>
      <c r="G785" s="71"/>
      <c r="H785" s="71"/>
      <c r="I785" s="71"/>
      <c r="J785" s="71"/>
      <c r="K785" s="71"/>
      <c r="L785" s="71"/>
      <c r="M785" s="71"/>
      <c r="N785" s="71"/>
      <c r="O785" s="71"/>
    </row>
    <row r="786" spans="1:15" x14ac:dyDescent="0.35">
      <c r="A786" s="71"/>
      <c r="B786" s="71"/>
      <c r="C786" s="71"/>
      <c r="D786" s="71"/>
      <c r="E786" s="68"/>
      <c r="F786" s="68"/>
      <c r="G786" s="71"/>
      <c r="H786" s="71"/>
      <c r="I786" s="71"/>
      <c r="J786" s="71"/>
      <c r="K786" s="71"/>
      <c r="L786" s="71"/>
      <c r="M786" s="71"/>
      <c r="N786" s="71"/>
      <c r="O786" s="71"/>
    </row>
    <row r="787" spans="1:15" x14ac:dyDescent="0.35">
      <c r="A787" s="71"/>
      <c r="B787" s="71"/>
      <c r="C787" s="71"/>
      <c r="D787" s="71"/>
      <c r="E787" s="68"/>
      <c r="F787" s="68"/>
      <c r="G787" s="71"/>
      <c r="H787" s="71"/>
      <c r="I787" s="71"/>
      <c r="J787" s="71"/>
      <c r="K787" s="71"/>
      <c r="L787" s="71"/>
      <c r="M787" s="71"/>
      <c r="N787" s="71"/>
      <c r="O787" s="71"/>
    </row>
    <row r="788" spans="1:15" x14ac:dyDescent="0.35">
      <c r="A788" s="71"/>
      <c r="B788" s="71"/>
      <c r="C788" s="71"/>
      <c r="D788" s="71"/>
      <c r="E788" s="68"/>
      <c r="F788" s="68"/>
      <c r="G788" s="71"/>
      <c r="H788" s="71"/>
      <c r="I788" s="71"/>
      <c r="J788" s="71"/>
      <c r="K788" s="71"/>
      <c r="L788" s="71"/>
      <c r="M788" s="71"/>
      <c r="N788" s="71"/>
      <c r="O788" s="71"/>
    </row>
    <row r="789" spans="1:15" x14ac:dyDescent="0.35">
      <c r="A789" s="71"/>
      <c r="B789" s="71"/>
      <c r="C789" s="71"/>
      <c r="D789" s="71"/>
      <c r="E789" s="68"/>
      <c r="F789" s="68"/>
      <c r="G789" s="71"/>
      <c r="H789" s="71"/>
      <c r="I789" s="71"/>
      <c r="J789" s="71"/>
      <c r="K789" s="71"/>
      <c r="L789" s="71"/>
      <c r="M789" s="71"/>
      <c r="N789" s="71"/>
      <c r="O789" s="71"/>
    </row>
    <row r="790" spans="1:15" x14ac:dyDescent="0.35">
      <c r="A790" s="71"/>
      <c r="B790" s="71"/>
      <c r="C790" s="71"/>
      <c r="D790" s="71"/>
      <c r="E790" s="68"/>
      <c r="F790" s="68"/>
      <c r="G790" s="71"/>
      <c r="H790" s="71"/>
      <c r="I790" s="71"/>
      <c r="J790" s="71"/>
      <c r="K790" s="71"/>
      <c r="L790" s="71"/>
      <c r="M790" s="71"/>
      <c r="N790" s="71"/>
      <c r="O790" s="71"/>
    </row>
    <row r="791" spans="1:15" x14ac:dyDescent="0.35">
      <c r="A791" s="71"/>
      <c r="B791" s="71"/>
      <c r="C791" s="71"/>
      <c r="D791" s="71"/>
      <c r="E791" s="68"/>
      <c r="F791" s="68"/>
      <c r="G791" s="71"/>
      <c r="H791" s="71"/>
      <c r="I791" s="71"/>
      <c r="J791" s="71"/>
      <c r="K791" s="71"/>
      <c r="L791" s="71"/>
      <c r="M791" s="71"/>
      <c r="N791" s="71"/>
      <c r="O791" s="71"/>
    </row>
    <row r="792" spans="1:15" x14ac:dyDescent="0.35">
      <c r="A792" s="71"/>
      <c r="B792" s="71"/>
      <c r="C792" s="71"/>
      <c r="D792" s="71"/>
      <c r="E792" s="68"/>
      <c r="F792" s="68"/>
      <c r="G792" s="71"/>
      <c r="H792" s="71"/>
      <c r="I792" s="71"/>
      <c r="J792" s="71"/>
      <c r="K792" s="71"/>
      <c r="L792" s="71"/>
      <c r="M792" s="71"/>
      <c r="N792" s="71"/>
      <c r="O792" s="71"/>
    </row>
    <row r="793" spans="1:15" x14ac:dyDescent="0.35">
      <c r="A793" s="71"/>
      <c r="B793" s="71"/>
      <c r="C793" s="71"/>
      <c r="D793" s="71"/>
      <c r="E793" s="68"/>
      <c r="F793" s="68"/>
      <c r="G793" s="71"/>
      <c r="H793" s="71"/>
      <c r="I793" s="71"/>
      <c r="J793" s="71"/>
      <c r="K793" s="71"/>
      <c r="L793" s="71"/>
      <c r="M793" s="71"/>
      <c r="N793" s="71"/>
      <c r="O793" s="71"/>
    </row>
    <row r="794" spans="1:15" x14ac:dyDescent="0.35">
      <c r="A794" s="71"/>
      <c r="B794" s="71"/>
      <c r="C794" s="71"/>
      <c r="D794" s="71"/>
      <c r="E794" s="68"/>
      <c r="F794" s="68"/>
      <c r="G794" s="71"/>
      <c r="H794" s="71"/>
      <c r="I794" s="71"/>
      <c r="J794" s="71"/>
      <c r="K794" s="71"/>
      <c r="L794" s="71"/>
      <c r="M794" s="71"/>
      <c r="N794" s="71"/>
      <c r="O794" s="71"/>
    </row>
    <row r="795" spans="1:15" x14ac:dyDescent="0.35">
      <c r="A795" s="71"/>
      <c r="B795" s="71"/>
      <c r="C795" s="71"/>
      <c r="D795" s="71"/>
      <c r="E795" s="68"/>
      <c r="F795" s="68"/>
      <c r="G795" s="71"/>
      <c r="H795" s="71"/>
      <c r="I795" s="71"/>
      <c r="J795" s="71"/>
      <c r="K795" s="71"/>
      <c r="L795" s="71"/>
      <c r="M795" s="71"/>
      <c r="N795" s="71"/>
      <c r="O795" s="71"/>
    </row>
    <row r="796" spans="1:15" x14ac:dyDescent="0.35">
      <c r="A796" s="71"/>
      <c r="B796" s="71"/>
      <c r="C796" s="71"/>
      <c r="D796" s="71"/>
      <c r="E796" s="68"/>
      <c r="F796" s="68"/>
      <c r="G796" s="71"/>
      <c r="H796" s="71"/>
      <c r="I796" s="71"/>
      <c r="J796" s="71"/>
      <c r="K796" s="71"/>
      <c r="L796" s="71"/>
      <c r="M796" s="71"/>
      <c r="N796" s="71"/>
      <c r="O796" s="71"/>
    </row>
    <row r="797" spans="1:15" x14ac:dyDescent="0.35">
      <c r="A797" s="71"/>
      <c r="B797" s="71"/>
      <c r="C797" s="71"/>
      <c r="D797" s="71"/>
      <c r="E797" s="68"/>
      <c r="F797" s="68"/>
      <c r="G797" s="71"/>
      <c r="H797" s="71"/>
      <c r="I797" s="71"/>
      <c r="J797" s="71"/>
      <c r="K797" s="71"/>
      <c r="L797" s="71"/>
      <c r="M797" s="71"/>
      <c r="N797" s="71"/>
      <c r="O797" s="71"/>
    </row>
    <row r="798" spans="1:15" x14ac:dyDescent="0.35">
      <c r="A798" s="71"/>
      <c r="B798" s="71"/>
      <c r="C798" s="71"/>
      <c r="D798" s="71"/>
      <c r="E798" s="68"/>
      <c r="F798" s="68"/>
      <c r="G798" s="71"/>
      <c r="H798" s="71"/>
      <c r="I798" s="71"/>
      <c r="J798" s="71"/>
      <c r="K798" s="71"/>
      <c r="L798" s="71"/>
      <c r="M798" s="71"/>
      <c r="N798" s="71"/>
      <c r="O798" s="71"/>
    </row>
    <row r="799" spans="1:15" x14ac:dyDescent="0.35">
      <c r="A799" s="71"/>
      <c r="B799" s="71"/>
      <c r="C799" s="71"/>
      <c r="D799" s="71"/>
      <c r="E799" s="68"/>
      <c r="F799" s="68"/>
      <c r="G799" s="71"/>
      <c r="H799" s="71"/>
      <c r="I799" s="71"/>
      <c r="J799" s="71"/>
      <c r="K799" s="71"/>
      <c r="L799" s="71"/>
      <c r="M799" s="71"/>
      <c r="N799" s="71"/>
      <c r="O799" s="71"/>
    </row>
    <row r="800" spans="1:15" x14ac:dyDescent="0.35">
      <c r="A800" s="71"/>
      <c r="B800" s="71"/>
      <c r="C800" s="71"/>
      <c r="D800" s="71"/>
      <c r="E800" s="68"/>
      <c r="F800" s="68"/>
      <c r="G800" s="71"/>
      <c r="H800" s="71"/>
      <c r="I800" s="71"/>
      <c r="J800" s="71"/>
      <c r="K800" s="71"/>
      <c r="L800" s="71"/>
      <c r="M800" s="71"/>
      <c r="N800" s="71"/>
      <c r="O800" s="71"/>
    </row>
    <row r="801" spans="1:15" x14ac:dyDescent="0.35">
      <c r="A801" s="71"/>
      <c r="B801" s="71"/>
      <c r="C801" s="71"/>
      <c r="D801" s="71"/>
      <c r="E801" s="68"/>
      <c r="F801" s="68"/>
      <c r="G801" s="71"/>
      <c r="H801" s="71"/>
      <c r="I801" s="71"/>
      <c r="J801" s="71"/>
      <c r="K801" s="71"/>
      <c r="L801" s="71"/>
      <c r="M801" s="71"/>
      <c r="N801" s="71"/>
      <c r="O801" s="71"/>
    </row>
    <row r="802" spans="1:15" x14ac:dyDescent="0.35">
      <c r="A802" s="71"/>
      <c r="B802" s="71"/>
      <c r="C802" s="71"/>
      <c r="D802" s="71"/>
      <c r="E802" s="68"/>
      <c r="F802" s="68"/>
      <c r="G802" s="71"/>
      <c r="H802" s="71"/>
      <c r="I802" s="71"/>
      <c r="J802" s="71"/>
      <c r="K802" s="71"/>
      <c r="L802" s="71"/>
      <c r="M802" s="71"/>
      <c r="N802" s="71"/>
      <c r="O802" s="71"/>
    </row>
    <row r="803" spans="1:15" x14ac:dyDescent="0.35">
      <c r="A803" s="71"/>
      <c r="B803" s="71"/>
      <c r="C803" s="71"/>
      <c r="D803" s="71"/>
      <c r="E803" s="68"/>
      <c r="F803" s="68"/>
      <c r="G803" s="71"/>
      <c r="H803" s="71"/>
      <c r="I803" s="71"/>
      <c r="J803" s="71"/>
      <c r="K803" s="71"/>
      <c r="L803" s="71"/>
      <c r="M803" s="71"/>
      <c r="N803" s="71"/>
      <c r="O803" s="71"/>
    </row>
    <row r="804" spans="1:15" x14ac:dyDescent="0.35">
      <c r="A804" s="71"/>
      <c r="B804" s="71"/>
      <c r="C804" s="71"/>
      <c r="D804" s="71"/>
      <c r="E804" s="68"/>
      <c r="F804" s="68"/>
      <c r="G804" s="71"/>
      <c r="H804" s="71"/>
      <c r="I804" s="71"/>
      <c r="J804" s="71"/>
      <c r="K804" s="71"/>
      <c r="L804" s="71"/>
      <c r="M804" s="71"/>
      <c r="N804" s="71"/>
      <c r="O804" s="71"/>
    </row>
    <row r="805" spans="1:15" x14ac:dyDescent="0.35">
      <c r="A805" s="71"/>
      <c r="B805" s="71"/>
      <c r="C805" s="71"/>
      <c r="D805" s="71"/>
      <c r="E805" s="68"/>
      <c r="F805" s="68"/>
      <c r="G805" s="71"/>
      <c r="H805" s="71"/>
      <c r="I805" s="71"/>
      <c r="J805" s="71"/>
      <c r="K805" s="71"/>
      <c r="L805" s="71"/>
      <c r="M805" s="71"/>
      <c r="N805" s="71"/>
      <c r="O805" s="71"/>
    </row>
    <row r="806" spans="1:15" x14ac:dyDescent="0.35">
      <c r="A806" s="71"/>
      <c r="B806" s="71"/>
      <c r="C806" s="71"/>
      <c r="D806" s="71"/>
      <c r="E806" s="68"/>
      <c r="F806" s="68"/>
      <c r="G806" s="71"/>
      <c r="H806" s="71"/>
      <c r="I806" s="71"/>
      <c r="J806" s="71"/>
      <c r="K806" s="71"/>
      <c r="L806" s="71"/>
      <c r="M806" s="71"/>
      <c r="N806" s="71"/>
      <c r="O806" s="71"/>
    </row>
    <row r="807" spans="1:15" x14ac:dyDescent="0.35">
      <c r="A807" s="71"/>
      <c r="B807" s="71"/>
      <c r="C807" s="71"/>
      <c r="D807" s="71"/>
      <c r="E807" s="68"/>
      <c r="F807" s="68"/>
      <c r="G807" s="71"/>
      <c r="H807" s="71"/>
      <c r="I807" s="71"/>
      <c r="J807" s="71"/>
      <c r="K807" s="71"/>
      <c r="L807" s="71"/>
      <c r="M807" s="71"/>
      <c r="N807" s="71"/>
      <c r="O807" s="71"/>
    </row>
    <row r="808" spans="1:15" x14ac:dyDescent="0.35">
      <c r="A808" s="71"/>
      <c r="B808" s="71"/>
      <c r="C808" s="71"/>
      <c r="D808" s="71"/>
      <c r="E808" s="68"/>
      <c r="F808" s="68"/>
      <c r="G808" s="71"/>
      <c r="H808" s="71"/>
      <c r="I808" s="71"/>
      <c r="J808" s="71"/>
      <c r="K808" s="71"/>
      <c r="L808" s="71"/>
      <c r="M808" s="71"/>
      <c r="N808" s="71"/>
      <c r="O808" s="71"/>
    </row>
    <row r="809" spans="1:15" x14ac:dyDescent="0.35">
      <c r="A809" s="71"/>
      <c r="B809" s="71"/>
      <c r="C809" s="71"/>
      <c r="D809" s="71"/>
      <c r="E809" s="68"/>
      <c r="F809" s="68"/>
      <c r="G809" s="71"/>
      <c r="H809" s="71"/>
      <c r="I809" s="71"/>
      <c r="J809" s="71"/>
      <c r="K809" s="71"/>
      <c r="L809" s="71"/>
      <c r="M809" s="71"/>
      <c r="N809" s="71"/>
      <c r="O809" s="71"/>
    </row>
    <row r="810" spans="1:15" x14ac:dyDescent="0.35">
      <c r="A810" s="71"/>
      <c r="B810" s="71"/>
      <c r="C810" s="71"/>
      <c r="D810" s="71"/>
      <c r="E810" s="68"/>
      <c r="F810" s="68"/>
      <c r="G810" s="71"/>
      <c r="H810" s="71"/>
      <c r="I810" s="71"/>
      <c r="J810" s="71"/>
      <c r="K810" s="71"/>
      <c r="L810" s="71"/>
      <c r="M810" s="71"/>
      <c r="N810" s="71"/>
      <c r="O810" s="71"/>
    </row>
    <row r="811" spans="1:15" x14ac:dyDescent="0.35">
      <c r="A811" s="71"/>
      <c r="B811" s="71"/>
      <c r="C811" s="71"/>
      <c r="D811" s="71"/>
      <c r="E811" s="68"/>
      <c r="F811" s="68"/>
      <c r="G811" s="71"/>
      <c r="H811" s="71"/>
      <c r="I811" s="71"/>
      <c r="J811" s="71"/>
      <c r="K811" s="71"/>
      <c r="L811" s="71"/>
      <c r="M811" s="71"/>
      <c r="N811" s="71"/>
      <c r="O811" s="71"/>
    </row>
    <row r="812" spans="1:15" x14ac:dyDescent="0.35">
      <c r="A812" s="71"/>
      <c r="B812" s="71"/>
      <c r="C812" s="71"/>
      <c r="D812" s="71"/>
      <c r="E812" s="68"/>
      <c r="F812" s="68"/>
      <c r="G812" s="71"/>
      <c r="H812" s="71"/>
      <c r="I812" s="71"/>
      <c r="J812" s="71"/>
      <c r="K812" s="71"/>
      <c r="L812" s="71"/>
      <c r="M812" s="71"/>
      <c r="N812" s="71"/>
      <c r="O812" s="71"/>
    </row>
    <row r="813" spans="1:15" x14ac:dyDescent="0.35">
      <c r="A813" s="71"/>
      <c r="B813" s="71"/>
      <c r="C813" s="71"/>
      <c r="D813" s="71"/>
      <c r="E813" s="68"/>
      <c r="F813" s="68"/>
      <c r="G813" s="71"/>
      <c r="H813" s="71"/>
      <c r="I813" s="71"/>
      <c r="J813" s="71"/>
      <c r="K813" s="71"/>
      <c r="L813" s="71"/>
      <c r="M813" s="71"/>
      <c r="N813" s="71"/>
      <c r="O813" s="71"/>
    </row>
    <row r="814" spans="1:15" x14ac:dyDescent="0.35">
      <c r="A814" s="71"/>
      <c r="B814" s="71"/>
      <c r="C814" s="71"/>
      <c r="D814" s="71"/>
      <c r="E814" s="68"/>
      <c r="F814" s="68"/>
      <c r="G814" s="71"/>
      <c r="H814" s="71"/>
      <c r="I814" s="71"/>
      <c r="J814" s="71"/>
      <c r="K814" s="71"/>
      <c r="L814" s="71"/>
      <c r="M814" s="71"/>
      <c r="N814" s="71"/>
      <c r="O814" s="71"/>
    </row>
    <row r="815" spans="1:15" x14ac:dyDescent="0.35">
      <c r="A815" s="71"/>
      <c r="B815" s="71"/>
      <c r="C815" s="71"/>
      <c r="D815" s="71"/>
      <c r="E815" s="68"/>
      <c r="F815" s="68"/>
      <c r="G815" s="71"/>
      <c r="H815" s="71"/>
      <c r="I815" s="71"/>
      <c r="J815" s="71"/>
      <c r="K815" s="71"/>
      <c r="L815" s="71"/>
      <c r="M815" s="71"/>
      <c r="N815" s="71"/>
      <c r="O815" s="71"/>
    </row>
    <row r="816" spans="1:15" x14ac:dyDescent="0.35">
      <c r="A816" s="71"/>
      <c r="B816" s="71"/>
      <c r="C816" s="71"/>
      <c r="D816" s="71"/>
      <c r="E816" s="68"/>
      <c r="F816" s="68"/>
      <c r="G816" s="71"/>
      <c r="H816" s="71"/>
      <c r="I816" s="71"/>
      <c r="J816" s="71"/>
      <c r="K816" s="71"/>
      <c r="L816" s="71"/>
      <c r="M816" s="71"/>
      <c r="N816" s="71"/>
      <c r="O816" s="71"/>
    </row>
    <row r="817" spans="1:15" x14ac:dyDescent="0.35">
      <c r="A817" s="71"/>
      <c r="B817" s="71"/>
      <c r="C817" s="71"/>
      <c r="D817" s="71"/>
      <c r="E817" s="68"/>
      <c r="F817" s="68"/>
      <c r="G817" s="71"/>
      <c r="H817" s="71"/>
      <c r="I817" s="71"/>
      <c r="J817" s="71"/>
      <c r="K817" s="71"/>
      <c r="L817" s="71"/>
      <c r="M817" s="71"/>
      <c r="N817" s="71"/>
      <c r="O817" s="71"/>
    </row>
    <row r="818" spans="1:15" x14ac:dyDescent="0.35">
      <c r="A818" s="71"/>
      <c r="B818" s="71"/>
      <c r="C818" s="71"/>
      <c r="D818" s="71"/>
      <c r="E818" s="68"/>
      <c r="F818" s="68"/>
      <c r="G818" s="71"/>
      <c r="H818" s="71"/>
      <c r="I818" s="71"/>
      <c r="J818" s="71"/>
      <c r="K818" s="71"/>
      <c r="L818" s="71"/>
      <c r="M818" s="71"/>
      <c r="N818" s="71"/>
      <c r="O818" s="71"/>
    </row>
    <row r="819" spans="1:15" x14ac:dyDescent="0.35">
      <c r="A819" s="71"/>
      <c r="B819" s="71"/>
      <c r="C819" s="71"/>
      <c r="D819" s="71"/>
      <c r="E819" s="68"/>
      <c r="F819" s="68"/>
      <c r="G819" s="71"/>
      <c r="H819" s="71"/>
      <c r="I819" s="71"/>
      <c r="J819" s="71"/>
      <c r="K819" s="71"/>
      <c r="L819" s="71"/>
      <c r="M819" s="71"/>
      <c r="N819" s="71"/>
      <c r="O819" s="71"/>
    </row>
    <row r="820" spans="1:15" x14ac:dyDescent="0.35">
      <c r="A820" s="71"/>
      <c r="B820" s="71"/>
      <c r="C820" s="71"/>
      <c r="D820" s="71"/>
      <c r="E820" s="68"/>
      <c r="F820" s="68"/>
      <c r="G820" s="71"/>
      <c r="H820" s="71"/>
      <c r="I820" s="71"/>
      <c r="J820" s="71"/>
      <c r="K820" s="71"/>
      <c r="L820" s="71"/>
      <c r="M820" s="71"/>
      <c r="N820" s="71"/>
      <c r="O820" s="71"/>
    </row>
    <row r="821" spans="1:15" x14ac:dyDescent="0.35">
      <c r="A821" s="71"/>
      <c r="B821" s="71"/>
      <c r="C821" s="71"/>
      <c r="D821" s="71"/>
      <c r="E821" s="68"/>
      <c r="F821" s="68"/>
      <c r="G821" s="71"/>
      <c r="H821" s="71"/>
      <c r="I821" s="71"/>
      <c r="J821" s="71"/>
      <c r="K821" s="71"/>
      <c r="L821" s="71"/>
      <c r="M821" s="71"/>
      <c r="N821" s="71"/>
      <c r="O821" s="71"/>
    </row>
    <row r="822" spans="1:15" x14ac:dyDescent="0.35">
      <c r="A822" s="71"/>
      <c r="B822" s="71"/>
      <c r="C822" s="71"/>
      <c r="D822" s="71"/>
      <c r="E822" s="68"/>
      <c r="F822" s="68"/>
      <c r="G822" s="71"/>
      <c r="H822" s="71"/>
      <c r="I822" s="71"/>
      <c r="J822" s="71"/>
      <c r="K822" s="71"/>
      <c r="L822" s="71"/>
      <c r="M822" s="71"/>
      <c r="N822" s="71"/>
      <c r="O822" s="71"/>
    </row>
    <row r="823" spans="1:15" x14ac:dyDescent="0.35">
      <c r="A823" s="71"/>
      <c r="B823" s="71"/>
      <c r="C823" s="71"/>
      <c r="D823" s="71"/>
      <c r="E823" s="68"/>
      <c r="F823" s="68"/>
      <c r="G823" s="71"/>
      <c r="H823" s="71"/>
      <c r="I823" s="71"/>
      <c r="J823" s="71"/>
      <c r="K823" s="71"/>
      <c r="L823" s="71"/>
      <c r="M823" s="71"/>
      <c r="N823" s="71"/>
      <c r="O823" s="71"/>
    </row>
    <row r="824" spans="1:15" x14ac:dyDescent="0.35">
      <c r="A824" s="71"/>
      <c r="B824" s="71"/>
      <c r="C824" s="71"/>
      <c r="D824" s="71"/>
      <c r="E824" s="68"/>
      <c r="F824" s="68"/>
      <c r="G824" s="71"/>
      <c r="H824" s="71"/>
      <c r="I824" s="71"/>
      <c r="J824" s="71"/>
      <c r="K824" s="71"/>
      <c r="L824" s="71"/>
      <c r="M824" s="71"/>
      <c r="N824" s="71"/>
      <c r="O824" s="71"/>
    </row>
    <row r="825" spans="1:15" x14ac:dyDescent="0.35">
      <c r="A825" s="71"/>
      <c r="B825" s="71"/>
      <c r="C825" s="71"/>
      <c r="D825" s="71"/>
      <c r="E825" s="68"/>
      <c r="F825" s="68"/>
      <c r="G825" s="71"/>
      <c r="H825" s="71"/>
      <c r="I825" s="71"/>
      <c r="J825" s="71"/>
      <c r="K825" s="71"/>
      <c r="L825" s="71"/>
      <c r="M825" s="71"/>
      <c r="N825" s="71"/>
      <c r="O825" s="71"/>
    </row>
    <row r="826" spans="1:15" x14ac:dyDescent="0.35">
      <c r="A826" s="71"/>
      <c r="B826" s="71"/>
      <c r="C826" s="71"/>
      <c r="D826" s="71"/>
      <c r="E826" s="68"/>
      <c r="F826" s="68"/>
      <c r="G826" s="71"/>
      <c r="H826" s="71"/>
      <c r="I826" s="71"/>
      <c r="J826" s="71"/>
      <c r="K826" s="71"/>
      <c r="L826" s="71"/>
      <c r="M826" s="71"/>
      <c r="N826" s="71"/>
      <c r="O826" s="71"/>
    </row>
    <row r="827" spans="1:15" x14ac:dyDescent="0.35">
      <c r="A827" s="71"/>
      <c r="B827" s="71"/>
      <c r="C827" s="71"/>
      <c r="D827" s="71"/>
      <c r="E827" s="68"/>
      <c r="F827" s="68"/>
      <c r="G827" s="71"/>
      <c r="H827" s="71"/>
      <c r="I827" s="71"/>
      <c r="J827" s="71"/>
      <c r="K827" s="71"/>
      <c r="L827" s="71"/>
      <c r="M827" s="71"/>
      <c r="N827" s="71"/>
      <c r="O827" s="71"/>
    </row>
    <row r="828" spans="1:15" x14ac:dyDescent="0.35">
      <c r="A828" s="71"/>
      <c r="B828" s="71"/>
      <c r="C828" s="71"/>
      <c r="D828" s="71"/>
      <c r="E828" s="68"/>
      <c r="F828" s="68"/>
      <c r="G828" s="71"/>
      <c r="H828" s="71"/>
      <c r="I828" s="71"/>
      <c r="J828" s="71"/>
      <c r="K828" s="71"/>
      <c r="L828" s="71"/>
      <c r="M828" s="71"/>
      <c r="N828" s="71"/>
      <c r="O828" s="71"/>
    </row>
    <row r="829" spans="1:15" x14ac:dyDescent="0.35">
      <c r="A829" s="71"/>
      <c r="B829" s="71"/>
      <c r="C829" s="71"/>
      <c r="D829" s="71"/>
      <c r="E829" s="68"/>
      <c r="F829" s="68"/>
      <c r="G829" s="71"/>
      <c r="H829" s="71"/>
      <c r="I829" s="71"/>
      <c r="J829" s="71"/>
      <c r="K829" s="71"/>
      <c r="L829" s="71"/>
      <c r="M829" s="71"/>
      <c r="N829" s="71"/>
      <c r="O829" s="71"/>
    </row>
    <row r="830" spans="1:15" x14ac:dyDescent="0.35">
      <c r="A830" s="71"/>
      <c r="B830" s="71"/>
      <c r="C830" s="71"/>
      <c r="D830" s="71"/>
      <c r="E830" s="68"/>
      <c r="F830" s="68"/>
      <c r="G830" s="71"/>
      <c r="H830" s="71"/>
      <c r="I830" s="71"/>
      <c r="J830" s="71"/>
      <c r="K830" s="71"/>
      <c r="L830" s="71"/>
      <c r="M830" s="71"/>
      <c r="N830" s="71"/>
      <c r="O830" s="71"/>
    </row>
    <row r="831" spans="1:15" x14ac:dyDescent="0.35">
      <c r="A831" s="71"/>
      <c r="B831" s="71"/>
      <c r="C831" s="71"/>
      <c r="D831" s="71"/>
      <c r="E831" s="68"/>
      <c r="F831" s="68"/>
      <c r="G831" s="71"/>
      <c r="H831" s="71"/>
      <c r="I831" s="71"/>
      <c r="J831" s="71"/>
      <c r="K831" s="71"/>
      <c r="L831" s="71"/>
      <c r="M831" s="71"/>
      <c r="N831" s="71"/>
      <c r="O831" s="71"/>
    </row>
    <row r="832" spans="1:15" x14ac:dyDescent="0.35">
      <c r="A832" s="71"/>
      <c r="B832" s="71"/>
      <c r="C832" s="71"/>
      <c r="D832" s="71"/>
      <c r="E832" s="68"/>
      <c r="F832" s="68"/>
      <c r="G832" s="71"/>
      <c r="H832" s="71"/>
      <c r="I832" s="71"/>
      <c r="J832" s="71"/>
      <c r="K832" s="71"/>
      <c r="L832" s="71"/>
      <c r="M832" s="71"/>
      <c r="N832" s="71"/>
      <c r="O832" s="71"/>
    </row>
    <row r="833" spans="1:15" x14ac:dyDescent="0.35">
      <c r="A833" s="71"/>
      <c r="B833" s="71"/>
      <c r="C833" s="71"/>
      <c r="D833" s="71"/>
      <c r="E833" s="68"/>
      <c r="F833" s="68"/>
      <c r="G833" s="71"/>
      <c r="H833" s="71"/>
      <c r="I833" s="71"/>
      <c r="J833" s="71"/>
      <c r="K833" s="71"/>
      <c r="L833" s="71"/>
      <c r="M833" s="71"/>
      <c r="N833" s="71"/>
      <c r="O833" s="71"/>
    </row>
    <row r="834" spans="1:15" x14ac:dyDescent="0.35">
      <c r="A834" s="71"/>
      <c r="B834" s="71"/>
      <c r="C834" s="71"/>
      <c r="D834" s="71"/>
      <c r="E834" s="68"/>
      <c r="F834" s="68"/>
      <c r="G834" s="71"/>
      <c r="H834" s="71"/>
      <c r="I834" s="71"/>
      <c r="J834" s="71"/>
      <c r="K834" s="71"/>
      <c r="L834" s="71"/>
      <c r="M834" s="71"/>
      <c r="N834" s="71"/>
      <c r="O834" s="71"/>
    </row>
    <row r="835" spans="1:15" x14ac:dyDescent="0.35">
      <c r="A835" s="71"/>
      <c r="B835" s="71"/>
      <c r="C835" s="71"/>
      <c r="D835" s="71"/>
      <c r="E835" s="68"/>
      <c r="F835" s="68"/>
      <c r="G835" s="71"/>
      <c r="H835" s="71"/>
      <c r="I835" s="71"/>
      <c r="J835" s="71"/>
      <c r="K835" s="71"/>
      <c r="L835" s="71"/>
      <c r="M835" s="71"/>
      <c r="N835" s="71"/>
      <c r="O835" s="71"/>
    </row>
    <row r="836" spans="1:15" x14ac:dyDescent="0.35">
      <c r="A836" s="71"/>
      <c r="B836" s="71"/>
      <c r="C836" s="71"/>
      <c r="D836" s="71"/>
      <c r="E836" s="68"/>
      <c r="F836" s="68"/>
      <c r="G836" s="71"/>
      <c r="H836" s="71"/>
      <c r="I836" s="71"/>
      <c r="J836" s="71"/>
      <c r="K836" s="71"/>
      <c r="L836" s="71"/>
      <c r="M836" s="71"/>
      <c r="N836" s="71"/>
      <c r="O836" s="71"/>
    </row>
    <row r="837" spans="1:15" x14ac:dyDescent="0.35">
      <c r="A837" s="71"/>
      <c r="B837" s="71"/>
      <c r="C837" s="71"/>
      <c r="D837" s="71"/>
      <c r="E837" s="68"/>
      <c r="F837" s="68"/>
      <c r="G837" s="71"/>
      <c r="H837" s="71"/>
      <c r="I837" s="71"/>
      <c r="J837" s="71"/>
      <c r="K837" s="71"/>
      <c r="L837" s="71"/>
      <c r="M837" s="71"/>
      <c r="N837" s="71"/>
      <c r="O837" s="71"/>
    </row>
    <row r="838" spans="1:15" x14ac:dyDescent="0.35">
      <c r="A838" s="71"/>
      <c r="B838" s="71"/>
      <c r="C838" s="71"/>
      <c r="D838" s="71"/>
      <c r="E838" s="68"/>
      <c r="F838" s="68"/>
      <c r="G838" s="71"/>
      <c r="H838" s="71"/>
      <c r="I838" s="71"/>
      <c r="J838" s="71"/>
      <c r="K838" s="71"/>
      <c r="L838" s="71"/>
      <c r="M838" s="71"/>
      <c r="N838" s="71"/>
      <c r="O838" s="71"/>
    </row>
    <row r="839" spans="1:15" x14ac:dyDescent="0.35">
      <c r="A839" s="71"/>
      <c r="B839" s="71"/>
      <c r="C839" s="71"/>
      <c r="D839" s="71"/>
      <c r="E839" s="68"/>
      <c r="F839" s="68"/>
      <c r="G839" s="71"/>
      <c r="H839" s="71"/>
      <c r="I839" s="71"/>
      <c r="J839" s="71"/>
      <c r="K839" s="71"/>
      <c r="L839" s="71"/>
      <c r="M839" s="71"/>
      <c r="N839" s="71"/>
      <c r="O839" s="71"/>
    </row>
    <row r="840" spans="1:15" x14ac:dyDescent="0.35">
      <c r="A840" s="71"/>
      <c r="B840" s="71"/>
      <c r="C840" s="71"/>
      <c r="D840" s="71"/>
      <c r="E840" s="68"/>
      <c r="F840" s="68"/>
      <c r="G840" s="71"/>
      <c r="H840" s="71"/>
      <c r="I840" s="71"/>
      <c r="J840" s="71"/>
      <c r="K840" s="71"/>
      <c r="L840" s="71"/>
      <c r="M840" s="71"/>
      <c r="N840" s="71"/>
      <c r="O840" s="71"/>
    </row>
    <row r="841" spans="1:15" x14ac:dyDescent="0.35">
      <c r="A841" s="71"/>
      <c r="B841" s="71"/>
      <c r="C841" s="71"/>
      <c r="D841" s="71"/>
      <c r="E841" s="68"/>
      <c r="F841" s="68"/>
      <c r="G841" s="71"/>
      <c r="H841" s="71"/>
      <c r="I841" s="71"/>
      <c r="J841" s="71"/>
      <c r="K841" s="71"/>
      <c r="L841" s="71"/>
      <c r="M841" s="71"/>
      <c r="N841" s="71"/>
      <c r="O841" s="71"/>
    </row>
    <row r="842" spans="1:15" x14ac:dyDescent="0.35">
      <c r="A842" s="71"/>
      <c r="B842" s="71"/>
      <c r="C842" s="71"/>
      <c r="D842" s="71"/>
      <c r="E842" s="68"/>
      <c r="F842" s="68"/>
      <c r="G842" s="71"/>
      <c r="H842" s="71"/>
      <c r="I842" s="71"/>
      <c r="J842" s="71"/>
      <c r="K842" s="71"/>
      <c r="L842" s="71"/>
      <c r="M842" s="71"/>
      <c r="N842" s="71"/>
      <c r="O842" s="71"/>
    </row>
    <row r="843" spans="1:15" x14ac:dyDescent="0.35">
      <c r="A843" s="71"/>
      <c r="B843" s="71"/>
      <c r="C843" s="71"/>
      <c r="D843" s="71"/>
      <c r="E843" s="68"/>
      <c r="F843" s="68"/>
      <c r="G843" s="71"/>
      <c r="H843" s="71"/>
      <c r="I843" s="71"/>
      <c r="J843" s="71"/>
      <c r="K843" s="71"/>
      <c r="L843" s="71"/>
      <c r="M843" s="71"/>
      <c r="N843" s="71"/>
      <c r="O843" s="71"/>
    </row>
    <row r="844" spans="1:15" x14ac:dyDescent="0.35">
      <c r="A844" s="71"/>
      <c r="B844" s="71"/>
      <c r="C844" s="71"/>
      <c r="D844" s="71"/>
      <c r="E844" s="68"/>
      <c r="F844" s="68"/>
      <c r="G844" s="71"/>
      <c r="H844" s="71"/>
      <c r="I844" s="71"/>
      <c r="J844" s="71"/>
      <c r="K844" s="71"/>
      <c r="L844" s="71"/>
      <c r="M844" s="71"/>
      <c r="N844" s="71"/>
      <c r="O844" s="71"/>
    </row>
    <row r="845" spans="1:15" x14ac:dyDescent="0.35">
      <c r="A845" s="71"/>
      <c r="B845" s="71"/>
      <c r="C845" s="71"/>
      <c r="D845" s="71"/>
      <c r="E845" s="68"/>
      <c r="F845" s="68"/>
      <c r="G845" s="71"/>
      <c r="H845" s="71"/>
      <c r="I845" s="71"/>
      <c r="J845" s="71"/>
      <c r="K845" s="71"/>
      <c r="L845" s="71"/>
      <c r="M845" s="71"/>
      <c r="N845" s="71"/>
      <c r="O845" s="71"/>
    </row>
    <row r="846" spans="1:15" x14ac:dyDescent="0.35">
      <c r="A846" s="71"/>
      <c r="B846" s="71"/>
      <c r="C846" s="71"/>
      <c r="D846" s="71"/>
      <c r="E846" s="68"/>
      <c r="F846" s="68"/>
      <c r="G846" s="71"/>
      <c r="H846" s="71"/>
      <c r="I846" s="71"/>
      <c r="J846" s="71"/>
      <c r="K846" s="71"/>
      <c r="L846" s="71"/>
      <c r="M846" s="71"/>
      <c r="N846" s="71"/>
      <c r="O846" s="71"/>
    </row>
    <row r="847" spans="1:15" x14ac:dyDescent="0.35">
      <c r="A847" s="71"/>
      <c r="B847" s="71"/>
      <c r="C847" s="71"/>
      <c r="D847" s="71"/>
      <c r="E847" s="68"/>
      <c r="F847" s="68"/>
      <c r="G847" s="71"/>
      <c r="H847" s="71"/>
      <c r="I847" s="71"/>
      <c r="J847" s="71"/>
      <c r="K847" s="71"/>
      <c r="L847" s="71"/>
      <c r="M847" s="71"/>
      <c r="N847" s="71"/>
      <c r="O847" s="71"/>
    </row>
    <row r="848" spans="1:15" x14ac:dyDescent="0.35">
      <c r="A848" s="71"/>
      <c r="B848" s="71"/>
      <c r="C848" s="71"/>
      <c r="D848" s="71"/>
      <c r="E848" s="68"/>
      <c r="F848" s="68"/>
      <c r="G848" s="71"/>
      <c r="H848" s="71"/>
      <c r="I848" s="71"/>
      <c r="J848" s="71"/>
      <c r="K848" s="71"/>
      <c r="L848" s="71"/>
      <c r="M848" s="71"/>
      <c r="N848" s="71"/>
      <c r="O848" s="71"/>
    </row>
    <row r="849" spans="1:15" x14ac:dyDescent="0.35">
      <c r="A849" s="71"/>
      <c r="B849" s="71"/>
      <c r="C849" s="71"/>
      <c r="D849" s="71"/>
      <c r="E849" s="68"/>
      <c r="F849" s="68"/>
      <c r="G849" s="71"/>
      <c r="H849" s="71"/>
      <c r="I849" s="71"/>
      <c r="J849" s="71"/>
      <c r="K849" s="71"/>
      <c r="L849" s="71"/>
      <c r="M849" s="71"/>
      <c r="N849" s="71"/>
      <c r="O849" s="71"/>
    </row>
    <row r="850" spans="1:15" x14ac:dyDescent="0.35">
      <c r="A850" s="71"/>
      <c r="B850" s="71"/>
      <c r="C850" s="71"/>
      <c r="D850" s="71"/>
      <c r="E850" s="68"/>
      <c r="F850" s="68"/>
      <c r="G850" s="71"/>
      <c r="H850" s="71"/>
      <c r="I850" s="71"/>
      <c r="J850" s="71"/>
      <c r="K850" s="71"/>
      <c r="L850" s="71"/>
      <c r="M850" s="71"/>
      <c r="N850" s="71"/>
      <c r="O850" s="71"/>
    </row>
    <row r="851" spans="1:15" x14ac:dyDescent="0.35">
      <c r="A851" s="71"/>
      <c r="B851" s="71"/>
      <c r="C851" s="71"/>
      <c r="D851" s="71"/>
      <c r="E851" s="68"/>
      <c r="F851" s="68"/>
      <c r="G851" s="71"/>
      <c r="H851" s="71"/>
      <c r="I851" s="71"/>
      <c r="J851" s="71"/>
      <c r="K851" s="71"/>
      <c r="L851" s="71"/>
      <c r="M851" s="71"/>
      <c r="N851" s="71"/>
      <c r="O851" s="71"/>
    </row>
    <row r="852" spans="1:15" x14ac:dyDescent="0.35">
      <c r="A852" s="71"/>
      <c r="B852" s="71"/>
      <c r="C852" s="71"/>
      <c r="D852" s="71"/>
      <c r="E852" s="68"/>
      <c r="F852" s="68"/>
      <c r="G852" s="71"/>
      <c r="H852" s="71"/>
      <c r="I852" s="71"/>
      <c r="J852" s="71"/>
      <c r="K852" s="71"/>
      <c r="L852" s="71"/>
      <c r="M852" s="71"/>
      <c r="N852" s="71"/>
      <c r="O852" s="71"/>
    </row>
    <row r="853" spans="1:15" x14ac:dyDescent="0.35">
      <c r="A853" s="71"/>
      <c r="B853" s="71"/>
      <c r="C853" s="71"/>
      <c r="D853" s="71"/>
      <c r="E853" s="68"/>
      <c r="F853" s="68"/>
      <c r="G853" s="71"/>
      <c r="H853" s="71"/>
      <c r="I853" s="71"/>
      <c r="J853" s="71"/>
      <c r="K853" s="71"/>
      <c r="L853" s="71"/>
      <c r="M853" s="71"/>
      <c r="N853" s="71"/>
      <c r="O853" s="71"/>
    </row>
    <row r="854" spans="1:15" x14ac:dyDescent="0.35">
      <c r="A854" s="71"/>
      <c r="B854" s="71"/>
      <c r="C854" s="71"/>
      <c r="D854" s="71"/>
      <c r="E854" s="68"/>
      <c r="F854" s="68"/>
      <c r="G854" s="71"/>
      <c r="H854" s="71"/>
      <c r="I854" s="71"/>
      <c r="J854" s="71"/>
      <c r="K854" s="71"/>
      <c r="L854" s="71"/>
      <c r="M854" s="71"/>
      <c r="N854" s="71"/>
      <c r="O854" s="71"/>
    </row>
    <row r="855" spans="1:15" x14ac:dyDescent="0.35">
      <c r="A855" s="71"/>
      <c r="B855" s="71"/>
      <c r="C855" s="71"/>
      <c r="D855" s="71"/>
      <c r="E855" s="68"/>
      <c r="F855" s="68"/>
      <c r="G855" s="71"/>
      <c r="H855" s="71"/>
      <c r="I855" s="71"/>
      <c r="J855" s="71"/>
      <c r="K855" s="71"/>
      <c r="L855" s="71"/>
      <c r="M855" s="71"/>
      <c r="N855" s="71"/>
      <c r="O855" s="71"/>
    </row>
    <row r="856" spans="1:15" x14ac:dyDescent="0.35">
      <c r="A856" s="71"/>
      <c r="B856" s="71"/>
      <c r="C856" s="71"/>
      <c r="D856" s="71"/>
      <c r="E856" s="68"/>
      <c r="F856" s="68"/>
      <c r="G856" s="71"/>
      <c r="H856" s="71"/>
      <c r="I856" s="71"/>
      <c r="J856" s="71"/>
      <c r="K856" s="71"/>
      <c r="L856" s="71"/>
      <c r="M856" s="71"/>
      <c r="N856" s="71"/>
      <c r="O856" s="71"/>
    </row>
    <row r="857" spans="1:15" x14ac:dyDescent="0.35">
      <c r="A857" s="71"/>
      <c r="B857" s="71"/>
      <c r="C857" s="71"/>
      <c r="D857" s="71"/>
      <c r="E857" s="68"/>
      <c r="F857" s="68"/>
      <c r="G857" s="71"/>
      <c r="H857" s="71"/>
      <c r="I857" s="71"/>
      <c r="J857" s="71"/>
      <c r="K857" s="71"/>
      <c r="L857" s="71"/>
      <c r="M857" s="71"/>
      <c r="N857" s="71"/>
      <c r="O857" s="71"/>
    </row>
    <row r="858" spans="1:15" x14ac:dyDescent="0.35">
      <c r="A858" s="71"/>
      <c r="B858" s="71"/>
      <c r="C858" s="71"/>
      <c r="D858" s="71"/>
      <c r="E858" s="68"/>
      <c r="F858" s="68"/>
      <c r="G858" s="71"/>
      <c r="H858" s="71"/>
      <c r="I858" s="71"/>
      <c r="J858" s="71"/>
      <c r="K858" s="71"/>
      <c r="L858" s="71"/>
      <c r="M858" s="71"/>
      <c r="N858" s="71"/>
      <c r="O858" s="71"/>
    </row>
    <row r="859" spans="1:15" x14ac:dyDescent="0.35">
      <c r="A859" s="71"/>
      <c r="B859" s="71"/>
      <c r="C859" s="71"/>
      <c r="D859" s="71"/>
      <c r="E859" s="68"/>
      <c r="F859" s="68"/>
      <c r="G859" s="71"/>
      <c r="H859" s="71"/>
      <c r="I859" s="71"/>
      <c r="J859" s="71"/>
      <c r="K859" s="71"/>
      <c r="L859" s="71"/>
      <c r="M859" s="71"/>
      <c r="N859" s="71"/>
      <c r="O859" s="71"/>
    </row>
    <row r="860" spans="1:15" x14ac:dyDescent="0.35">
      <c r="A860" s="71"/>
      <c r="B860" s="71"/>
      <c r="C860" s="71"/>
      <c r="D860" s="71"/>
      <c r="E860" s="68"/>
      <c r="F860" s="68"/>
      <c r="G860" s="71"/>
      <c r="H860" s="71"/>
      <c r="I860" s="71"/>
      <c r="J860" s="71"/>
      <c r="K860" s="71"/>
      <c r="L860" s="71"/>
      <c r="M860" s="71"/>
      <c r="N860" s="71"/>
      <c r="O860" s="71"/>
    </row>
    <row r="861" spans="1:15" x14ac:dyDescent="0.35">
      <c r="A861" s="71"/>
      <c r="B861" s="71"/>
      <c r="C861" s="71"/>
      <c r="D861" s="71"/>
      <c r="E861" s="68"/>
      <c r="F861" s="68"/>
      <c r="G861" s="71"/>
      <c r="H861" s="71"/>
      <c r="I861" s="71"/>
      <c r="J861" s="71"/>
      <c r="K861" s="71"/>
      <c r="L861" s="71"/>
      <c r="M861" s="71"/>
      <c r="N861" s="71"/>
      <c r="O861" s="71"/>
    </row>
    <row r="862" spans="1:15" x14ac:dyDescent="0.35">
      <c r="A862" s="71"/>
      <c r="B862" s="71"/>
      <c r="C862" s="71"/>
      <c r="D862" s="71"/>
      <c r="E862" s="68"/>
      <c r="F862" s="68"/>
      <c r="G862" s="71"/>
      <c r="H862" s="71"/>
      <c r="I862" s="71"/>
      <c r="J862" s="71"/>
      <c r="K862" s="71"/>
      <c r="L862" s="71"/>
      <c r="M862" s="71"/>
      <c r="N862" s="71"/>
      <c r="O862" s="71"/>
    </row>
    <row r="863" spans="1:15" x14ac:dyDescent="0.35">
      <c r="A863" s="71"/>
      <c r="B863" s="71"/>
      <c r="C863" s="71"/>
      <c r="D863" s="71"/>
      <c r="E863" s="68"/>
      <c r="F863" s="68"/>
      <c r="G863" s="71"/>
      <c r="H863" s="71"/>
      <c r="I863" s="71"/>
      <c r="J863" s="71"/>
      <c r="K863" s="71"/>
      <c r="L863" s="71"/>
      <c r="M863" s="71"/>
      <c r="N863" s="71"/>
      <c r="O863" s="71"/>
    </row>
    <row r="864" spans="1:15" x14ac:dyDescent="0.35">
      <c r="A864" s="71"/>
      <c r="B864" s="71"/>
      <c r="C864" s="71"/>
      <c r="D864" s="71"/>
      <c r="E864" s="68"/>
      <c r="F864" s="68"/>
      <c r="G864" s="71"/>
      <c r="H864" s="71"/>
      <c r="I864" s="71"/>
      <c r="J864" s="71"/>
      <c r="K864" s="71"/>
      <c r="L864" s="71"/>
      <c r="M864" s="71"/>
      <c r="N864" s="71"/>
      <c r="O864" s="71"/>
    </row>
    <row r="865" spans="1:15" x14ac:dyDescent="0.35">
      <c r="A865" s="71"/>
      <c r="B865" s="71"/>
      <c r="C865" s="71"/>
      <c r="D865" s="71"/>
      <c r="E865" s="68"/>
      <c r="F865" s="68"/>
      <c r="G865" s="71"/>
      <c r="H865" s="71"/>
      <c r="I865" s="71"/>
      <c r="J865" s="71"/>
      <c r="K865" s="71"/>
      <c r="L865" s="71"/>
      <c r="M865" s="71"/>
      <c r="N865" s="71"/>
      <c r="O865" s="71"/>
    </row>
    <row r="866" spans="1:15" x14ac:dyDescent="0.35">
      <c r="A866" s="71"/>
      <c r="B866" s="71"/>
      <c r="C866" s="71"/>
      <c r="D866" s="71"/>
      <c r="E866" s="68"/>
      <c r="F866" s="68"/>
      <c r="G866" s="71"/>
      <c r="H866" s="71"/>
      <c r="I866" s="71"/>
      <c r="J866" s="71"/>
      <c r="K866" s="71"/>
      <c r="L866" s="71"/>
      <c r="M866" s="71"/>
      <c r="N866" s="71"/>
      <c r="O866" s="71"/>
    </row>
    <row r="867" spans="1:15" x14ac:dyDescent="0.35">
      <c r="A867" s="71"/>
      <c r="B867" s="71"/>
      <c r="C867" s="71"/>
      <c r="D867" s="71"/>
      <c r="E867" s="68"/>
      <c r="F867" s="68"/>
      <c r="G867" s="71"/>
      <c r="H867" s="71"/>
      <c r="I867" s="71"/>
      <c r="J867" s="71"/>
      <c r="K867" s="71"/>
      <c r="L867" s="71"/>
      <c r="M867" s="71"/>
      <c r="N867" s="71"/>
      <c r="O867" s="71"/>
    </row>
    <row r="868" spans="1:15" x14ac:dyDescent="0.35">
      <c r="A868" s="71"/>
      <c r="B868" s="71"/>
      <c r="C868" s="71"/>
      <c r="D868" s="71"/>
      <c r="E868" s="68"/>
      <c r="F868" s="68"/>
      <c r="G868" s="71"/>
      <c r="H868" s="71"/>
      <c r="I868" s="71"/>
      <c r="J868" s="71"/>
      <c r="K868" s="71"/>
      <c r="L868" s="71"/>
      <c r="M868" s="71"/>
      <c r="N868" s="71"/>
      <c r="O868" s="71"/>
    </row>
    <row r="869" spans="1:15" x14ac:dyDescent="0.35">
      <c r="A869" s="71"/>
      <c r="B869" s="71"/>
      <c r="C869" s="71"/>
      <c r="D869" s="71"/>
      <c r="E869" s="68"/>
      <c r="F869" s="68"/>
      <c r="G869" s="71"/>
      <c r="H869" s="71"/>
      <c r="I869" s="71"/>
      <c r="J869" s="71"/>
      <c r="K869" s="71"/>
      <c r="L869" s="71"/>
      <c r="M869" s="71"/>
      <c r="N869" s="71"/>
      <c r="O869" s="71"/>
    </row>
    <row r="870" spans="1:15" x14ac:dyDescent="0.35">
      <c r="A870" s="71"/>
      <c r="B870" s="71"/>
      <c r="C870" s="71"/>
      <c r="D870" s="71"/>
      <c r="E870" s="68"/>
      <c r="F870" s="68"/>
      <c r="G870" s="71"/>
      <c r="H870" s="71"/>
      <c r="I870" s="71"/>
      <c r="J870" s="71"/>
      <c r="K870" s="71"/>
      <c r="L870" s="71"/>
      <c r="M870" s="71"/>
      <c r="N870" s="71"/>
      <c r="O870" s="71"/>
    </row>
    <row r="871" spans="1:15" x14ac:dyDescent="0.35">
      <c r="A871" s="71"/>
      <c r="B871" s="71"/>
      <c r="C871" s="71"/>
      <c r="D871" s="71"/>
      <c r="E871" s="68"/>
      <c r="F871" s="68"/>
      <c r="G871" s="71"/>
      <c r="H871" s="71"/>
      <c r="I871" s="71"/>
      <c r="J871" s="71"/>
      <c r="K871" s="71"/>
      <c r="L871" s="71"/>
      <c r="M871" s="71"/>
      <c r="N871" s="71"/>
      <c r="O871" s="71"/>
    </row>
    <row r="872" spans="1:15" x14ac:dyDescent="0.35">
      <c r="A872" s="71"/>
      <c r="B872" s="71"/>
      <c r="C872" s="71"/>
      <c r="D872" s="71"/>
      <c r="E872" s="68"/>
      <c r="F872" s="68"/>
      <c r="G872" s="71"/>
      <c r="H872" s="71"/>
      <c r="I872" s="71"/>
      <c r="J872" s="71"/>
      <c r="K872" s="71"/>
      <c r="L872" s="71"/>
      <c r="M872" s="71"/>
      <c r="N872" s="71"/>
      <c r="O872" s="71"/>
    </row>
    <row r="873" spans="1:15" x14ac:dyDescent="0.35">
      <c r="A873" s="71"/>
      <c r="B873" s="71"/>
      <c r="C873" s="71"/>
      <c r="D873" s="71"/>
      <c r="E873" s="68"/>
      <c r="F873" s="68"/>
      <c r="G873" s="71"/>
      <c r="H873" s="71"/>
      <c r="I873" s="71"/>
      <c r="J873" s="71"/>
      <c r="K873" s="71"/>
      <c r="L873" s="71"/>
      <c r="M873" s="71"/>
      <c r="N873" s="71"/>
      <c r="O873" s="71"/>
    </row>
    <row r="874" spans="1:15" x14ac:dyDescent="0.35">
      <c r="A874" s="71"/>
      <c r="B874" s="71"/>
      <c r="C874" s="71"/>
      <c r="D874" s="71"/>
      <c r="E874" s="68"/>
      <c r="F874" s="68"/>
      <c r="G874" s="71"/>
      <c r="H874" s="71"/>
      <c r="I874" s="71"/>
      <c r="J874" s="71"/>
      <c r="K874" s="71"/>
      <c r="L874" s="71"/>
      <c r="M874" s="71"/>
      <c r="N874" s="71"/>
      <c r="O874" s="71"/>
    </row>
    <row r="875" spans="1:15" x14ac:dyDescent="0.35">
      <c r="A875" s="71"/>
      <c r="B875" s="71"/>
      <c r="C875" s="71"/>
      <c r="D875" s="71"/>
      <c r="E875" s="68"/>
      <c r="F875" s="68"/>
      <c r="G875" s="71"/>
      <c r="H875" s="71"/>
      <c r="I875" s="71"/>
      <c r="J875" s="71"/>
      <c r="K875" s="71"/>
      <c r="L875" s="71"/>
      <c r="M875" s="71"/>
      <c r="N875" s="71"/>
      <c r="O875" s="71"/>
    </row>
    <row r="876" spans="1:15" x14ac:dyDescent="0.35">
      <c r="A876" s="71"/>
      <c r="B876" s="71"/>
      <c r="C876" s="71"/>
      <c r="D876" s="71"/>
      <c r="E876" s="68"/>
      <c r="F876" s="68"/>
      <c r="G876" s="71"/>
      <c r="H876" s="71"/>
      <c r="I876" s="71"/>
      <c r="J876" s="71"/>
      <c r="K876" s="71"/>
      <c r="L876" s="71"/>
      <c r="M876" s="71"/>
      <c r="N876" s="71"/>
      <c r="O876" s="71"/>
    </row>
    <row r="877" spans="1:15" x14ac:dyDescent="0.35">
      <c r="A877" s="71"/>
      <c r="B877" s="71"/>
      <c r="C877" s="71"/>
      <c r="D877" s="71"/>
      <c r="E877" s="68"/>
      <c r="F877" s="68"/>
      <c r="G877" s="71"/>
      <c r="H877" s="71"/>
      <c r="I877" s="71"/>
      <c r="J877" s="71"/>
      <c r="K877" s="71"/>
      <c r="L877" s="71"/>
      <c r="M877" s="71"/>
      <c r="N877" s="71"/>
      <c r="O877" s="71"/>
    </row>
    <row r="878" spans="1:15" x14ac:dyDescent="0.35">
      <c r="A878" s="71"/>
      <c r="B878" s="71"/>
      <c r="C878" s="71"/>
      <c r="D878" s="71"/>
      <c r="E878" s="68"/>
      <c r="F878" s="68"/>
      <c r="G878" s="71"/>
      <c r="H878" s="71"/>
      <c r="I878" s="71"/>
      <c r="J878" s="71"/>
      <c r="K878" s="71"/>
      <c r="L878" s="71"/>
      <c r="M878" s="71"/>
      <c r="N878" s="71"/>
      <c r="O878" s="71"/>
    </row>
    <row r="879" spans="1:15" x14ac:dyDescent="0.35">
      <c r="A879" s="71"/>
      <c r="B879" s="71"/>
      <c r="C879" s="71"/>
      <c r="D879" s="71"/>
      <c r="E879" s="68"/>
      <c r="F879" s="68"/>
      <c r="G879" s="71"/>
      <c r="H879" s="71"/>
      <c r="I879" s="71"/>
      <c r="J879" s="71"/>
      <c r="K879" s="71"/>
      <c r="L879" s="71"/>
      <c r="M879" s="71"/>
      <c r="N879" s="71"/>
      <c r="O879" s="71"/>
    </row>
    <row r="880" spans="1:15" x14ac:dyDescent="0.35">
      <c r="A880" s="71"/>
      <c r="B880" s="71"/>
      <c r="C880" s="71"/>
      <c r="D880" s="71"/>
      <c r="E880" s="68"/>
      <c r="F880" s="68"/>
      <c r="G880" s="71"/>
      <c r="H880" s="71"/>
      <c r="I880" s="71"/>
      <c r="J880" s="71"/>
      <c r="K880" s="71"/>
      <c r="L880" s="71"/>
      <c r="M880" s="71"/>
      <c r="N880" s="71"/>
      <c r="O880" s="71"/>
    </row>
    <row r="881" spans="1:15" x14ac:dyDescent="0.35">
      <c r="A881" s="71"/>
      <c r="B881" s="71"/>
      <c r="C881" s="71"/>
      <c r="D881" s="71"/>
      <c r="E881" s="68"/>
      <c r="F881" s="68"/>
      <c r="G881" s="71"/>
      <c r="H881" s="71"/>
      <c r="I881" s="71"/>
      <c r="J881" s="71"/>
      <c r="K881" s="71"/>
      <c r="L881" s="71"/>
      <c r="M881" s="71"/>
      <c r="N881" s="71"/>
      <c r="O881" s="71"/>
    </row>
    <row r="882" spans="1:15" x14ac:dyDescent="0.35">
      <c r="A882" s="71"/>
      <c r="B882" s="71"/>
      <c r="C882" s="71"/>
      <c r="D882" s="71"/>
      <c r="E882" s="68"/>
      <c r="F882" s="68"/>
      <c r="G882" s="71"/>
      <c r="H882" s="71"/>
      <c r="I882" s="71"/>
      <c r="J882" s="71"/>
      <c r="K882" s="71"/>
      <c r="L882" s="71"/>
      <c r="M882" s="71"/>
      <c r="N882" s="71"/>
      <c r="O882" s="71"/>
    </row>
    <row r="883" spans="1:15" x14ac:dyDescent="0.35">
      <c r="A883" s="71"/>
      <c r="B883" s="71"/>
      <c r="C883" s="71"/>
      <c r="D883" s="71"/>
      <c r="E883" s="68"/>
      <c r="F883" s="68"/>
      <c r="G883" s="71"/>
      <c r="H883" s="71"/>
      <c r="I883" s="71"/>
      <c r="J883" s="71"/>
      <c r="K883" s="71"/>
      <c r="L883" s="71"/>
      <c r="M883" s="71"/>
      <c r="N883" s="71"/>
      <c r="O883" s="71"/>
    </row>
    <row r="884" spans="1:15" x14ac:dyDescent="0.35">
      <c r="A884" s="71"/>
      <c r="B884" s="71"/>
      <c r="C884" s="71"/>
      <c r="D884" s="71"/>
      <c r="E884" s="68"/>
      <c r="F884" s="68"/>
      <c r="G884" s="71"/>
      <c r="H884" s="71"/>
      <c r="I884" s="71"/>
      <c r="J884" s="71"/>
      <c r="K884" s="71"/>
      <c r="L884" s="71"/>
      <c r="M884" s="71"/>
      <c r="N884" s="71"/>
      <c r="O884" s="71"/>
    </row>
    <row r="885" spans="1:15" x14ac:dyDescent="0.35">
      <c r="A885" s="71"/>
      <c r="B885" s="71"/>
      <c r="C885" s="71"/>
      <c r="D885" s="71"/>
      <c r="E885" s="68"/>
      <c r="F885" s="68"/>
      <c r="G885" s="71"/>
      <c r="H885" s="71"/>
      <c r="I885" s="71"/>
      <c r="J885" s="71"/>
      <c r="K885" s="71"/>
      <c r="L885" s="71"/>
      <c r="M885" s="71"/>
      <c r="N885" s="71"/>
      <c r="O885" s="71"/>
    </row>
    <row r="886" spans="1:15" x14ac:dyDescent="0.35">
      <c r="A886" s="71"/>
      <c r="B886" s="71"/>
      <c r="C886" s="71"/>
      <c r="D886" s="71"/>
      <c r="E886" s="68"/>
      <c r="F886" s="68"/>
      <c r="G886" s="71"/>
      <c r="H886" s="71"/>
      <c r="I886" s="71"/>
      <c r="J886" s="71"/>
      <c r="K886" s="71"/>
      <c r="L886" s="71"/>
      <c r="M886" s="71"/>
      <c r="N886" s="71"/>
      <c r="O886" s="71"/>
    </row>
    <row r="887" spans="1:15" x14ac:dyDescent="0.35">
      <c r="A887" s="71"/>
      <c r="B887" s="71"/>
      <c r="C887" s="71"/>
      <c r="D887" s="71"/>
      <c r="E887" s="68"/>
      <c r="F887" s="68"/>
      <c r="G887" s="71"/>
      <c r="H887" s="71"/>
      <c r="I887" s="71"/>
      <c r="J887" s="71"/>
      <c r="K887" s="71"/>
      <c r="L887" s="71"/>
      <c r="M887" s="71"/>
      <c r="N887" s="71"/>
      <c r="O887" s="71"/>
    </row>
    <row r="888" spans="1:15" x14ac:dyDescent="0.35">
      <c r="A888" s="71"/>
      <c r="B888" s="71"/>
      <c r="C888" s="71"/>
      <c r="D888" s="71"/>
      <c r="E888" s="68"/>
      <c r="F888" s="68"/>
      <c r="G888" s="71"/>
      <c r="H888" s="71"/>
      <c r="I888" s="71"/>
      <c r="J888" s="71"/>
      <c r="K888" s="71"/>
      <c r="L888" s="71"/>
      <c r="M888" s="71"/>
      <c r="N888" s="71"/>
      <c r="O888" s="71"/>
    </row>
    <row r="889" spans="1:15" x14ac:dyDescent="0.35">
      <c r="A889" s="71"/>
      <c r="B889" s="71"/>
      <c r="C889" s="71"/>
      <c r="D889" s="71"/>
      <c r="E889" s="68"/>
      <c r="F889" s="68"/>
      <c r="G889" s="71"/>
      <c r="H889" s="71"/>
      <c r="I889" s="71"/>
      <c r="J889" s="71"/>
      <c r="K889" s="71"/>
      <c r="L889" s="71"/>
      <c r="M889" s="71"/>
      <c r="N889" s="71"/>
      <c r="O889" s="71"/>
    </row>
    <row r="890" spans="1:15" x14ac:dyDescent="0.35">
      <c r="A890" s="71"/>
      <c r="B890" s="71"/>
      <c r="C890" s="71"/>
      <c r="D890" s="71"/>
      <c r="E890" s="68"/>
      <c r="F890" s="68"/>
      <c r="G890" s="71"/>
      <c r="H890" s="71"/>
      <c r="I890" s="71"/>
      <c r="J890" s="71"/>
      <c r="K890" s="71"/>
      <c r="L890" s="71"/>
      <c r="M890" s="71"/>
      <c r="N890" s="71"/>
      <c r="O890" s="71"/>
    </row>
    <row r="891" spans="1:15" x14ac:dyDescent="0.35">
      <c r="A891" s="71"/>
      <c r="B891" s="71"/>
      <c r="C891" s="71"/>
      <c r="D891" s="71"/>
      <c r="E891" s="68"/>
      <c r="F891" s="68"/>
      <c r="G891" s="71"/>
      <c r="H891" s="71"/>
      <c r="I891" s="71"/>
      <c r="J891" s="71"/>
      <c r="K891" s="71"/>
      <c r="L891" s="71"/>
      <c r="M891" s="71"/>
      <c r="N891" s="71"/>
      <c r="O891" s="71"/>
    </row>
    <row r="892" spans="1:15" x14ac:dyDescent="0.35">
      <c r="A892" s="71"/>
      <c r="B892" s="71"/>
      <c r="C892" s="71"/>
      <c r="D892" s="71"/>
      <c r="E892" s="68"/>
      <c r="F892" s="68"/>
      <c r="G892" s="71"/>
      <c r="H892" s="71"/>
      <c r="I892" s="71"/>
      <c r="J892" s="71"/>
      <c r="K892" s="71"/>
      <c r="L892" s="71"/>
      <c r="M892" s="71"/>
      <c r="N892" s="71"/>
      <c r="O892" s="71"/>
    </row>
    <row r="893" spans="1:15" x14ac:dyDescent="0.35">
      <c r="A893" s="71"/>
      <c r="B893" s="71"/>
      <c r="C893" s="71"/>
      <c r="D893" s="71"/>
      <c r="E893" s="68"/>
      <c r="F893" s="68"/>
      <c r="G893" s="71"/>
      <c r="H893" s="71"/>
      <c r="I893" s="71"/>
      <c r="J893" s="71"/>
      <c r="K893" s="71"/>
      <c r="L893" s="71"/>
      <c r="M893" s="71"/>
      <c r="N893" s="71"/>
      <c r="O893" s="71"/>
    </row>
    <row r="894" spans="1:15" x14ac:dyDescent="0.35">
      <c r="A894" s="71"/>
      <c r="B894" s="71"/>
      <c r="C894" s="71"/>
      <c r="D894" s="71"/>
      <c r="E894" s="68"/>
      <c r="F894" s="68"/>
      <c r="G894" s="71"/>
      <c r="H894" s="71"/>
      <c r="I894" s="71"/>
      <c r="J894" s="71"/>
      <c r="K894" s="71"/>
      <c r="L894" s="71"/>
      <c r="M894" s="71"/>
      <c r="N894" s="71"/>
      <c r="O894" s="71"/>
    </row>
    <row r="895" spans="1:15" x14ac:dyDescent="0.35">
      <c r="A895" s="71"/>
      <c r="B895" s="71"/>
      <c r="C895" s="71"/>
      <c r="D895" s="71"/>
      <c r="E895" s="68"/>
      <c r="F895" s="68"/>
      <c r="G895" s="71"/>
      <c r="H895" s="71"/>
      <c r="I895" s="71"/>
      <c r="J895" s="71"/>
      <c r="K895" s="71"/>
      <c r="L895" s="71"/>
      <c r="M895" s="71"/>
      <c r="N895" s="71"/>
      <c r="O895" s="71"/>
    </row>
    <row r="896" spans="1:15" x14ac:dyDescent="0.35">
      <c r="A896" s="71"/>
      <c r="B896" s="71"/>
      <c r="C896" s="71"/>
      <c r="D896" s="71"/>
      <c r="E896" s="68"/>
      <c r="F896" s="68"/>
      <c r="G896" s="71"/>
      <c r="H896" s="71"/>
      <c r="I896" s="71"/>
      <c r="J896" s="71"/>
      <c r="K896" s="71"/>
      <c r="L896" s="71"/>
      <c r="M896" s="71"/>
      <c r="N896" s="71"/>
      <c r="O896" s="71"/>
    </row>
    <row r="897" spans="1:15" x14ac:dyDescent="0.35">
      <c r="A897" s="71"/>
      <c r="B897" s="71"/>
      <c r="C897" s="71"/>
      <c r="D897" s="71"/>
      <c r="E897" s="68"/>
      <c r="F897" s="68"/>
      <c r="G897" s="71"/>
      <c r="H897" s="71"/>
      <c r="I897" s="71"/>
      <c r="J897" s="71"/>
      <c r="K897" s="71"/>
      <c r="L897" s="71"/>
      <c r="M897" s="71"/>
      <c r="N897" s="71"/>
      <c r="O897" s="71"/>
    </row>
    <row r="898" spans="1:15" x14ac:dyDescent="0.35">
      <c r="A898" s="71"/>
      <c r="B898" s="71"/>
      <c r="C898" s="71"/>
      <c r="D898" s="71"/>
      <c r="E898" s="68"/>
      <c r="F898" s="68"/>
      <c r="G898" s="71"/>
      <c r="H898" s="71"/>
      <c r="I898" s="71"/>
      <c r="J898" s="71"/>
      <c r="K898" s="71"/>
      <c r="L898" s="71"/>
      <c r="M898" s="71"/>
      <c r="N898" s="71"/>
      <c r="O898" s="71"/>
    </row>
    <row r="899" spans="1:15" x14ac:dyDescent="0.35">
      <c r="A899" s="71"/>
      <c r="B899" s="71"/>
      <c r="C899" s="71"/>
      <c r="D899" s="71"/>
      <c r="E899" s="68"/>
      <c r="F899" s="68"/>
      <c r="G899" s="71"/>
      <c r="H899" s="71"/>
      <c r="I899" s="71"/>
      <c r="J899" s="71"/>
      <c r="K899" s="71"/>
      <c r="L899" s="71"/>
      <c r="M899" s="71"/>
      <c r="N899" s="71"/>
      <c r="O899" s="71"/>
    </row>
    <row r="900" spans="1:15" x14ac:dyDescent="0.35">
      <c r="A900" s="71"/>
      <c r="B900" s="71"/>
      <c r="C900" s="71"/>
      <c r="D900" s="71"/>
      <c r="E900" s="68"/>
      <c r="F900" s="68"/>
      <c r="G900" s="71"/>
      <c r="H900" s="71"/>
      <c r="I900" s="71"/>
      <c r="J900" s="71"/>
      <c r="K900" s="71"/>
      <c r="L900" s="71"/>
      <c r="M900" s="71"/>
      <c r="N900" s="71"/>
      <c r="O900" s="71"/>
    </row>
    <row r="901" spans="1:15" x14ac:dyDescent="0.35">
      <c r="A901" s="71"/>
      <c r="B901" s="71"/>
      <c r="C901" s="71"/>
      <c r="D901" s="71"/>
      <c r="E901" s="68"/>
      <c r="F901" s="68"/>
      <c r="G901" s="71"/>
      <c r="H901" s="71"/>
      <c r="I901" s="71"/>
      <c r="J901" s="71"/>
      <c r="K901" s="71"/>
      <c r="L901" s="71"/>
      <c r="M901" s="71"/>
      <c r="N901" s="71"/>
      <c r="O901" s="71"/>
    </row>
    <row r="902" spans="1:15" x14ac:dyDescent="0.35">
      <c r="A902" s="71"/>
      <c r="B902" s="71"/>
      <c r="C902" s="71"/>
      <c r="D902" s="71"/>
      <c r="E902" s="68"/>
      <c r="F902" s="68"/>
      <c r="G902" s="71"/>
      <c r="H902" s="71"/>
      <c r="I902" s="71"/>
      <c r="J902" s="71"/>
      <c r="K902" s="71"/>
      <c r="L902" s="71"/>
      <c r="M902" s="71"/>
      <c r="N902" s="71"/>
      <c r="O902" s="71"/>
    </row>
    <row r="903" spans="1:15" x14ac:dyDescent="0.35">
      <c r="A903" s="71"/>
      <c r="B903" s="71"/>
      <c r="C903" s="71"/>
      <c r="D903" s="71"/>
      <c r="E903" s="68"/>
      <c r="F903" s="68"/>
      <c r="G903" s="71"/>
      <c r="H903" s="71"/>
      <c r="I903" s="71"/>
      <c r="J903" s="71"/>
      <c r="K903" s="71"/>
      <c r="L903" s="71"/>
      <c r="M903" s="71"/>
      <c r="N903" s="71"/>
      <c r="O903" s="71"/>
    </row>
    <row r="904" spans="1:15" x14ac:dyDescent="0.35">
      <c r="A904" s="71"/>
      <c r="B904" s="71"/>
      <c r="C904" s="71"/>
      <c r="D904" s="71"/>
      <c r="E904" s="68"/>
      <c r="F904" s="68"/>
      <c r="G904" s="71"/>
      <c r="H904" s="71"/>
      <c r="I904" s="71"/>
      <c r="J904" s="71"/>
      <c r="K904" s="71"/>
      <c r="L904" s="71"/>
      <c r="M904" s="71"/>
      <c r="N904" s="71"/>
      <c r="O904" s="71"/>
    </row>
    <row r="905" spans="1:15" x14ac:dyDescent="0.35">
      <c r="A905" s="71"/>
      <c r="B905" s="71"/>
      <c r="C905" s="71"/>
      <c r="D905" s="71"/>
      <c r="E905" s="68"/>
      <c r="F905" s="68"/>
      <c r="G905" s="71"/>
      <c r="H905" s="71"/>
      <c r="I905" s="71"/>
      <c r="J905" s="71"/>
      <c r="K905" s="71"/>
      <c r="L905" s="71"/>
      <c r="M905" s="71"/>
      <c r="N905" s="71"/>
      <c r="O905" s="71"/>
    </row>
    <row r="906" spans="1:15" x14ac:dyDescent="0.35">
      <c r="A906" s="71"/>
      <c r="B906" s="71"/>
      <c r="C906" s="71"/>
      <c r="D906" s="71"/>
      <c r="E906" s="68"/>
      <c r="F906" s="68"/>
      <c r="G906" s="71"/>
      <c r="H906" s="71"/>
      <c r="I906" s="71"/>
      <c r="J906" s="71"/>
      <c r="K906" s="71"/>
      <c r="L906" s="71"/>
      <c r="M906" s="71"/>
      <c r="N906" s="71"/>
      <c r="O906" s="71"/>
    </row>
    <row r="907" spans="1:15" x14ac:dyDescent="0.35">
      <c r="A907" s="71"/>
      <c r="B907" s="71"/>
      <c r="C907" s="71"/>
      <c r="D907" s="71"/>
      <c r="E907" s="68"/>
      <c r="F907" s="68"/>
      <c r="G907" s="71"/>
      <c r="H907" s="71"/>
      <c r="I907" s="71"/>
      <c r="J907" s="71"/>
      <c r="K907" s="71"/>
      <c r="L907" s="71"/>
      <c r="M907" s="71"/>
      <c r="N907" s="71"/>
      <c r="O907" s="71"/>
    </row>
    <row r="908" spans="1:15" x14ac:dyDescent="0.35">
      <c r="A908" s="71"/>
      <c r="B908" s="71"/>
      <c r="C908" s="71"/>
      <c r="D908" s="71"/>
      <c r="E908" s="68"/>
      <c r="F908" s="68"/>
      <c r="G908" s="71"/>
      <c r="H908" s="71"/>
      <c r="I908" s="71"/>
      <c r="J908" s="71"/>
      <c r="K908" s="71"/>
      <c r="L908" s="71"/>
      <c r="M908" s="71"/>
      <c r="N908" s="71"/>
      <c r="O908" s="71"/>
    </row>
    <row r="909" spans="1:15" x14ac:dyDescent="0.35">
      <c r="A909" s="71"/>
      <c r="B909" s="71"/>
      <c r="C909" s="71"/>
      <c r="D909" s="71"/>
      <c r="E909" s="68"/>
      <c r="F909" s="68"/>
      <c r="G909" s="71"/>
      <c r="H909" s="71"/>
      <c r="I909" s="71"/>
      <c r="J909" s="71"/>
      <c r="K909" s="71"/>
      <c r="L909" s="71"/>
      <c r="M909" s="71"/>
      <c r="N909" s="71"/>
      <c r="O909" s="71"/>
    </row>
    <row r="910" spans="1:15" x14ac:dyDescent="0.35">
      <c r="A910" s="71"/>
      <c r="B910" s="71"/>
      <c r="C910" s="71"/>
      <c r="D910" s="71"/>
      <c r="E910" s="68"/>
      <c r="F910" s="68"/>
      <c r="G910" s="71"/>
      <c r="H910" s="71"/>
      <c r="I910" s="71"/>
      <c r="J910" s="71"/>
      <c r="K910" s="71"/>
      <c r="L910" s="71"/>
      <c r="M910" s="71"/>
      <c r="N910" s="71"/>
      <c r="O910" s="71"/>
    </row>
    <row r="911" spans="1:15" x14ac:dyDescent="0.35">
      <c r="A911" s="71"/>
      <c r="B911" s="71"/>
      <c r="C911" s="71"/>
      <c r="D911" s="71"/>
      <c r="E911" s="68"/>
      <c r="F911" s="68"/>
      <c r="G911" s="71"/>
      <c r="H911" s="71"/>
      <c r="I911" s="71"/>
      <c r="J911" s="71"/>
      <c r="K911" s="71"/>
      <c r="L911" s="71"/>
      <c r="M911" s="71"/>
      <c r="N911" s="71"/>
      <c r="O911" s="71"/>
    </row>
    <row r="912" spans="1:15" x14ac:dyDescent="0.35">
      <c r="A912" s="71"/>
      <c r="B912" s="71"/>
      <c r="C912" s="71"/>
      <c r="D912" s="71"/>
      <c r="E912" s="68"/>
      <c r="F912" s="68"/>
      <c r="G912" s="71"/>
      <c r="H912" s="71"/>
      <c r="I912" s="71"/>
      <c r="J912" s="71"/>
      <c r="K912" s="71"/>
      <c r="L912" s="71"/>
      <c r="M912" s="71"/>
      <c r="N912" s="71"/>
      <c r="O912" s="71"/>
    </row>
    <row r="913" spans="1:15" x14ac:dyDescent="0.35">
      <c r="A913" s="71"/>
      <c r="B913" s="71"/>
      <c r="C913" s="71"/>
      <c r="D913" s="71"/>
      <c r="E913" s="68"/>
      <c r="F913" s="68"/>
      <c r="G913" s="71"/>
      <c r="H913" s="71"/>
      <c r="I913" s="71"/>
      <c r="J913" s="71"/>
      <c r="K913" s="71"/>
      <c r="L913" s="71"/>
      <c r="M913" s="71"/>
      <c r="N913" s="71"/>
      <c r="O913" s="71"/>
    </row>
    <row r="914" spans="1:15" x14ac:dyDescent="0.35">
      <c r="A914" s="71"/>
      <c r="B914" s="71"/>
      <c r="C914" s="71"/>
      <c r="D914" s="71"/>
      <c r="E914" s="68"/>
      <c r="F914" s="68"/>
      <c r="G914" s="71"/>
      <c r="H914" s="71"/>
      <c r="I914" s="71"/>
      <c r="J914" s="71"/>
      <c r="K914" s="71"/>
      <c r="L914" s="71"/>
      <c r="M914" s="71"/>
      <c r="N914" s="71"/>
      <c r="O914" s="71"/>
    </row>
    <row r="915" spans="1:15" x14ac:dyDescent="0.35">
      <c r="A915" s="71"/>
      <c r="B915" s="71"/>
      <c r="C915" s="71"/>
      <c r="D915" s="71"/>
      <c r="E915" s="68"/>
      <c r="F915" s="68"/>
      <c r="G915" s="71"/>
      <c r="H915" s="71"/>
      <c r="I915" s="71"/>
      <c r="J915" s="71"/>
      <c r="K915" s="71"/>
      <c r="L915" s="71"/>
      <c r="M915" s="71"/>
      <c r="N915" s="71"/>
      <c r="O915" s="71"/>
    </row>
    <row r="916" spans="1:15" x14ac:dyDescent="0.35">
      <c r="A916" s="71"/>
      <c r="B916" s="71"/>
      <c r="C916" s="71"/>
      <c r="D916" s="71"/>
      <c r="E916" s="68"/>
      <c r="F916" s="68"/>
      <c r="G916" s="71"/>
      <c r="H916" s="71"/>
      <c r="I916" s="71"/>
      <c r="J916" s="71"/>
      <c r="K916" s="71"/>
      <c r="L916" s="71"/>
      <c r="M916" s="71"/>
      <c r="N916" s="71"/>
      <c r="O916" s="71"/>
    </row>
    <row r="917" spans="1:15" x14ac:dyDescent="0.35">
      <c r="A917" s="71"/>
      <c r="B917" s="71"/>
      <c r="C917" s="71"/>
      <c r="D917" s="71"/>
      <c r="E917" s="68"/>
      <c r="F917" s="68"/>
      <c r="G917" s="71"/>
      <c r="H917" s="71"/>
      <c r="I917" s="71"/>
      <c r="J917" s="71"/>
      <c r="K917" s="71"/>
      <c r="L917" s="71"/>
      <c r="M917" s="71"/>
      <c r="N917" s="71"/>
      <c r="O917" s="71"/>
    </row>
    <row r="918" spans="1:15" x14ac:dyDescent="0.35">
      <c r="A918" s="71"/>
      <c r="B918" s="71"/>
      <c r="C918" s="71"/>
      <c r="D918" s="71"/>
      <c r="E918" s="68"/>
      <c r="F918" s="68"/>
      <c r="G918" s="71"/>
      <c r="H918" s="71"/>
      <c r="I918" s="71"/>
      <c r="J918" s="71"/>
      <c r="K918" s="71"/>
      <c r="L918" s="71"/>
      <c r="M918" s="71"/>
      <c r="N918" s="71"/>
      <c r="O918" s="71"/>
    </row>
    <row r="919" spans="1:15" x14ac:dyDescent="0.35">
      <c r="A919" s="71"/>
      <c r="B919" s="71"/>
      <c r="C919" s="71"/>
      <c r="D919" s="71"/>
      <c r="E919" s="68"/>
      <c r="F919" s="68"/>
      <c r="G919" s="71"/>
      <c r="H919" s="71"/>
      <c r="I919" s="71"/>
      <c r="J919" s="71"/>
      <c r="K919" s="71"/>
      <c r="L919" s="71"/>
      <c r="M919" s="71"/>
      <c r="N919" s="71"/>
      <c r="O919" s="71"/>
    </row>
    <row r="920" spans="1:15" x14ac:dyDescent="0.35">
      <c r="A920" s="71"/>
      <c r="B920" s="71"/>
      <c r="C920" s="71"/>
      <c r="D920" s="71"/>
      <c r="E920" s="68"/>
      <c r="F920" s="68"/>
      <c r="G920" s="71"/>
      <c r="H920" s="71"/>
      <c r="I920" s="71"/>
      <c r="J920" s="71"/>
      <c r="K920" s="71"/>
      <c r="L920" s="71"/>
      <c r="M920" s="71"/>
      <c r="N920" s="71"/>
      <c r="O920" s="71"/>
    </row>
    <row r="921" spans="1:15" x14ac:dyDescent="0.35">
      <c r="A921" s="71"/>
      <c r="B921" s="71"/>
      <c r="C921" s="71"/>
      <c r="D921" s="71"/>
      <c r="E921" s="68"/>
      <c r="F921" s="68"/>
      <c r="G921" s="71"/>
      <c r="H921" s="71"/>
      <c r="I921" s="71"/>
      <c r="J921" s="71"/>
      <c r="K921" s="71"/>
      <c r="L921" s="71"/>
      <c r="M921" s="71"/>
      <c r="N921" s="71"/>
      <c r="O921" s="71"/>
    </row>
    <row r="922" spans="1:15" x14ac:dyDescent="0.35">
      <c r="A922" s="71"/>
      <c r="B922" s="71"/>
      <c r="C922" s="71"/>
      <c r="D922" s="71"/>
      <c r="E922" s="68"/>
      <c r="F922" s="68"/>
      <c r="G922" s="71"/>
      <c r="H922" s="71"/>
      <c r="I922" s="71"/>
      <c r="J922" s="71"/>
      <c r="K922" s="71"/>
      <c r="L922" s="71"/>
      <c r="M922" s="71"/>
      <c r="N922" s="71"/>
      <c r="O922" s="71"/>
    </row>
    <row r="923" spans="1:15" x14ac:dyDescent="0.35">
      <c r="A923" s="71"/>
      <c r="B923" s="71"/>
      <c r="C923" s="71"/>
      <c r="D923" s="71"/>
      <c r="E923" s="68"/>
      <c r="F923" s="68"/>
      <c r="G923" s="71"/>
      <c r="H923" s="71"/>
      <c r="I923" s="71"/>
      <c r="J923" s="71"/>
      <c r="K923" s="71"/>
      <c r="L923" s="71"/>
      <c r="M923" s="71"/>
      <c r="N923" s="71"/>
      <c r="O923" s="71"/>
    </row>
    <row r="924" spans="1:15" x14ac:dyDescent="0.35">
      <c r="A924" s="71"/>
      <c r="B924" s="71"/>
      <c r="C924" s="71"/>
      <c r="D924" s="71"/>
      <c r="E924" s="68"/>
      <c r="F924" s="68"/>
      <c r="G924" s="71"/>
      <c r="H924" s="71"/>
      <c r="I924" s="71"/>
      <c r="J924" s="71"/>
      <c r="K924" s="71"/>
      <c r="L924" s="71"/>
      <c r="M924" s="71"/>
      <c r="N924" s="71"/>
      <c r="O924" s="71"/>
    </row>
    <row r="925" spans="1:15" x14ac:dyDescent="0.35">
      <c r="A925" s="71"/>
      <c r="B925" s="71"/>
      <c r="C925" s="71"/>
      <c r="D925" s="71"/>
      <c r="E925" s="68"/>
      <c r="F925" s="68"/>
      <c r="G925" s="71"/>
      <c r="H925" s="71"/>
      <c r="I925" s="71"/>
      <c r="J925" s="71"/>
      <c r="K925" s="71"/>
      <c r="L925" s="71"/>
      <c r="M925" s="71"/>
      <c r="N925" s="71"/>
      <c r="O925" s="71"/>
    </row>
    <row r="926" spans="1:15" x14ac:dyDescent="0.35">
      <c r="A926" s="71"/>
      <c r="B926" s="71"/>
      <c r="C926" s="71"/>
      <c r="D926" s="71"/>
      <c r="E926" s="68"/>
      <c r="F926" s="68"/>
      <c r="G926" s="71"/>
      <c r="H926" s="71"/>
      <c r="I926" s="71"/>
      <c r="J926" s="71"/>
      <c r="K926" s="71"/>
      <c r="L926" s="71"/>
      <c r="M926" s="71"/>
      <c r="N926" s="71"/>
      <c r="O926" s="71"/>
    </row>
    <row r="927" spans="1:15" x14ac:dyDescent="0.35">
      <c r="A927" s="71"/>
      <c r="B927" s="71"/>
      <c r="C927" s="71"/>
      <c r="D927" s="71"/>
      <c r="E927" s="68"/>
      <c r="F927" s="68"/>
      <c r="G927" s="71"/>
      <c r="H927" s="71"/>
      <c r="I927" s="71"/>
      <c r="J927" s="71"/>
      <c r="K927" s="71"/>
      <c r="L927" s="71"/>
      <c r="M927" s="71"/>
      <c r="N927" s="71"/>
      <c r="O927" s="71"/>
    </row>
    <row r="928" spans="1:15" x14ac:dyDescent="0.35">
      <c r="A928" s="71"/>
      <c r="B928" s="71"/>
      <c r="C928" s="71"/>
      <c r="D928" s="71"/>
      <c r="E928" s="68"/>
      <c r="F928" s="68"/>
      <c r="G928" s="71"/>
      <c r="H928" s="71"/>
      <c r="I928" s="71"/>
      <c r="J928" s="71"/>
      <c r="K928" s="71"/>
      <c r="L928" s="71"/>
      <c r="M928" s="71"/>
      <c r="N928" s="71"/>
      <c r="O928" s="71"/>
    </row>
    <row r="929" spans="1:15" x14ac:dyDescent="0.35">
      <c r="A929" s="71"/>
      <c r="B929" s="71"/>
      <c r="C929" s="71"/>
      <c r="D929" s="71"/>
      <c r="E929" s="68"/>
      <c r="F929" s="68"/>
      <c r="G929" s="71"/>
      <c r="H929" s="71"/>
      <c r="I929" s="71"/>
      <c r="J929" s="71"/>
      <c r="K929" s="71"/>
      <c r="L929" s="71"/>
      <c r="M929" s="71"/>
      <c r="N929" s="71"/>
      <c r="O929" s="71"/>
    </row>
    <row r="930" spans="1:15" x14ac:dyDescent="0.35">
      <c r="A930" s="71"/>
      <c r="B930" s="71"/>
      <c r="C930" s="71"/>
      <c r="D930" s="71"/>
      <c r="E930" s="68"/>
      <c r="F930" s="68"/>
      <c r="G930" s="71"/>
      <c r="H930" s="71"/>
      <c r="I930" s="71"/>
      <c r="J930" s="71"/>
      <c r="K930" s="71"/>
      <c r="L930" s="71"/>
      <c r="M930" s="71"/>
      <c r="N930" s="71"/>
      <c r="O930" s="71"/>
    </row>
    <row r="931" spans="1:15" x14ac:dyDescent="0.35">
      <c r="A931" s="71"/>
      <c r="B931" s="71"/>
      <c r="C931" s="71"/>
      <c r="D931" s="71"/>
      <c r="E931" s="68"/>
      <c r="F931" s="68"/>
      <c r="G931" s="71"/>
      <c r="H931" s="71"/>
      <c r="I931" s="71"/>
      <c r="J931" s="71"/>
      <c r="K931" s="71"/>
      <c r="L931" s="71"/>
      <c r="M931" s="71"/>
      <c r="N931" s="71"/>
      <c r="O931" s="71"/>
    </row>
    <row r="932" spans="1:15" x14ac:dyDescent="0.35">
      <c r="A932" s="71"/>
      <c r="B932" s="71"/>
      <c r="C932" s="71"/>
      <c r="D932" s="71"/>
      <c r="E932" s="68"/>
      <c r="F932" s="68"/>
      <c r="G932" s="71"/>
      <c r="H932" s="71"/>
      <c r="I932" s="71"/>
      <c r="J932" s="71"/>
      <c r="K932" s="71"/>
      <c r="L932" s="71"/>
      <c r="M932" s="71"/>
      <c r="N932" s="71"/>
      <c r="O932" s="71"/>
    </row>
    <row r="933" spans="1:15" x14ac:dyDescent="0.35">
      <c r="A933" s="71"/>
      <c r="B933" s="71"/>
      <c r="C933" s="71"/>
      <c r="D933" s="71"/>
      <c r="E933" s="68"/>
      <c r="F933" s="68"/>
      <c r="G933" s="71"/>
      <c r="H933" s="71"/>
      <c r="I933" s="71"/>
      <c r="J933" s="71"/>
      <c r="K933" s="71"/>
      <c r="L933" s="71"/>
      <c r="M933" s="71"/>
      <c r="N933" s="71"/>
      <c r="O933" s="71"/>
    </row>
    <row r="934" spans="1:15" x14ac:dyDescent="0.35">
      <c r="A934" s="71"/>
      <c r="B934" s="71"/>
      <c r="C934" s="71"/>
      <c r="D934" s="71"/>
      <c r="E934" s="68"/>
      <c r="F934" s="68"/>
      <c r="G934" s="71"/>
      <c r="H934" s="71"/>
      <c r="I934" s="71"/>
      <c r="J934" s="71"/>
      <c r="K934" s="71"/>
      <c r="L934" s="71"/>
      <c r="M934" s="71"/>
      <c r="N934" s="71"/>
      <c r="O934" s="71"/>
    </row>
    <row r="935" spans="1:15" x14ac:dyDescent="0.35">
      <c r="A935" s="71"/>
      <c r="B935" s="71"/>
      <c r="C935" s="71"/>
      <c r="D935" s="71"/>
      <c r="E935" s="68"/>
      <c r="F935" s="68"/>
      <c r="G935" s="71"/>
      <c r="H935" s="71"/>
      <c r="I935" s="71"/>
      <c r="J935" s="71"/>
      <c r="K935" s="71"/>
      <c r="L935" s="71"/>
      <c r="M935" s="71"/>
      <c r="N935" s="71"/>
      <c r="O935" s="71"/>
    </row>
    <row r="936" spans="1:15" x14ac:dyDescent="0.35">
      <c r="A936" s="71"/>
      <c r="B936" s="71"/>
      <c r="C936" s="71"/>
      <c r="D936" s="71"/>
      <c r="E936" s="68"/>
      <c r="F936" s="68"/>
      <c r="G936" s="71"/>
      <c r="H936" s="71"/>
      <c r="I936" s="71"/>
      <c r="J936" s="71"/>
      <c r="K936" s="71"/>
      <c r="L936" s="71"/>
      <c r="M936" s="71"/>
      <c r="N936" s="71"/>
      <c r="O936" s="71"/>
    </row>
    <row r="937" spans="1:15" x14ac:dyDescent="0.35">
      <c r="A937" s="71"/>
      <c r="B937" s="71"/>
      <c r="C937" s="71"/>
      <c r="D937" s="71"/>
      <c r="E937" s="68"/>
      <c r="F937" s="68"/>
      <c r="G937" s="71"/>
      <c r="H937" s="71"/>
      <c r="I937" s="71"/>
      <c r="J937" s="71"/>
      <c r="K937" s="71"/>
      <c r="L937" s="71"/>
      <c r="M937" s="71"/>
      <c r="N937" s="71"/>
      <c r="O937" s="71"/>
    </row>
    <row r="938" spans="1:15" x14ac:dyDescent="0.35">
      <c r="A938" s="71"/>
      <c r="B938" s="71"/>
      <c r="C938" s="71"/>
      <c r="D938" s="71"/>
      <c r="E938" s="68"/>
      <c r="F938" s="68"/>
      <c r="G938" s="71"/>
      <c r="H938" s="71"/>
      <c r="I938" s="71"/>
      <c r="J938" s="71"/>
      <c r="K938" s="71"/>
      <c r="L938" s="71"/>
      <c r="M938" s="71"/>
      <c r="N938" s="71"/>
      <c r="O938" s="71"/>
    </row>
    <row r="939" spans="1:15" x14ac:dyDescent="0.35">
      <c r="A939" s="71"/>
      <c r="B939" s="71"/>
      <c r="C939" s="71"/>
      <c r="D939" s="71"/>
      <c r="E939" s="68"/>
      <c r="F939" s="68"/>
      <c r="G939" s="71"/>
      <c r="H939" s="71"/>
      <c r="I939" s="71"/>
      <c r="J939" s="71"/>
      <c r="K939" s="71"/>
      <c r="L939" s="71"/>
      <c r="M939" s="71"/>
      <c r="N939" s="71"/>
      <c r="O939" s="71"/>
    </row>
    <row r="940" spans="1:15" x14ac:dyDescent="0.35">
      <c r="A940" s="71"/>
      <c r="B940" s="71"/>
      <c r="C940" s="71"/>
      <c r="D940" s="71"/>
      <c r="E940" s="68"/>
      <c r="F940" s="68"/>
      <c r="G940" s="71"/>
      <c r="H940" s="71"/>
      <c r="I940" s="71"/>
      <c r="J940" s="71"/>
      <c r="K940" s="71"/>
      <c r="L940" s="71"/>
      <c r="M940" s="71"/>
      <c r="N940" s="71"/>
      <c r="O940" s="71"/>
    </row>
    <row r="941" spans="1:15" x14ac:dyDescent="0.35">
      <c r="A941" s="71"/>
      <c r="B941" s="71"/>
      <c r="C941" s="71"/>
      <c r="D941" s="71"/>
      <c r="E941" s="68"/>
      <c r="F941" s="68"/>
      <c r="G941" s="71"/>
      <c r="H941" s="71"/>
      <c r="I941" s="71"/>
      <c r="J941" s="71"/>
      <c r="K941" s="71"/>
      <c r="L941" s="71"/>
      <c r="M941" s="71"/>
      <c r="N941" s="71"/>
      <c r="O941" s="71"/>
    </row>
    <row r="942" spans="1:15" x14ac:dyDescent="0.35">
      <c r="A942" s="71"/>
      <c r="B942" s="71"/>
      <c r="C942" s="71"/>
      <c r="D942" s="71"/>
      <c r="E942" s="68"/>
      <c r="F942" s="68"/>
      <c r="G942" s="71"/>
      <c r="H942" s="71"/>
      <c r="I942" s="71"/>
      <c r="J942" s="71"/>
      <c r="K942" s="71"/>
      <c r="L942" s="71"/>
      <c r="M942" s="71"/>
      <c r="N942" s="71"/>
      <c r="O942" s="71"/>
    </row>
    <row r="943" spans="1:15" x14ac:dyDescent="0.35">
      <c r="A943" s="71"/>
      <c r="B943" s="71"/>
      <c r="C943" s="71"/>
      <c r="D943" s="71"/>
      <c r="E943" s="68"/>
      <c r="F943" s="68"/>
      <c r="G943" s="71"/>
      <c r="H943" s="71"/>
      <c r="I943" s="71"/>
      <c r="J943" s="71"/>
      <c r="K943" s="71"/>
      <c r="L943" s="71"/>
      <c r="M943" s="71"/>
      <c r="N943" s="71"/>
      <c r="O943" s="71"/>
    </row>
    <row r="944" spans="1:15" x14ac:dyDescent="0.35">
      <c r="A944" s="71"/>
      <c r="B944" s="71"/>
      <c r="C944" s="71"/>
      <c r="D944" s="71"/>
      <c r="E944" s="68"/>
      <c r="F944" s="68"/>
      <c r="G944" s="71"/>
      <c r="H944" s="71"/>
      <c r="I944" s="71"/>
      <c r="J944" s="71"/>
      <c r="K944" s="71"/>
      <c r="L944" s="71"/>
      <c r="M944" s="71"/>
      <c r="N944" s="71"/>
      <c r="O944" s="71"/>
    </row>
    <row r="945" spans="1:15" x14ac:dyDescent="0.35">
      <c r="A945" s="71"/>
      <c r="B945" s="71"/>
      <c r="C945" s="71"/>
      <c r="D945" s="71"/>
      <c r="E945" s="68"/>
      <c r="F945" s="68"/>
      <c r="G945" s="71"/>
      <c r="H945" s="71"/>
      <c r="I945" s="71"/>
      <c r="J945" s="71"/>
      <c r="K945" s="71"/>
      <c r="L945" s="71"/>
      <c r="M945" s="71"/>
      <c r="N945" s="71"/>
      <c r="O945" s="71"/>
    </row>
    <row r="946" spans="1:15" x14ac:dyDescent="0.35">
      <c r="A946" s="71"/>
      <c r="B946" s="71"/>
      <c r="C946" s="71"/>
      <c r="D946" s="71"/>
      <c r="E946" s="68"/>
      <c r="F946" s="68"/>
      <c r="G946" s="71"/>
      <c r="H946" s="71"/>
      <c r="I946" s="71"/>
      <c r="J946" s="71"/>
      <c r="K946" s="71"/>
      <c r="L946" s="71"/>
      <c r="M946" s="71"/>
      <c r="N946" s="71"/>
      <c r="O946" s="71"/>
    </row>
    <row r="947" spans="1:15" x14ac:dyDescent="0.35">
      <c r="A947" s="71"/>
      <c r="B947" s="71"/>
      <c r="C947" s="71"/>
      <c r="D947" s="71"/>
      <c r="E947" s="68"/>
      <c r="F947" s="68"/>
      <c r="G947" s="71"/>
      <c r="H947" s="71"/>
      <c r="I947" s="71"/>
      <c r="J947" s="71"/>
      <c r="K947" s="71"/>
      <c r="L947" s="71"/>
      <c r="M947" s="71"/>
      <c r="N947" s="71"/>
      <c r="O947" s="71"/>
    </row>
    <row r="948" spans="1:15" x14ac:dyDescent="0.35">
      <c r="A948" s="71"/>
      <c r="B948" s="71"/>
      <c r="C948" s="71"/>
      <c r="D948" s="71"/>
      <c r="E948" s="68"/>
      <c r="F948" s="68"/>
      <c r="G948" s="71"/>
      <c r="H948" s="71"/>
      <c r="I948" s="71"/>
      <c r="J948" s="71"/>
      <c r="K948" s="71"/>
      <c r="L948" s="71"/>
      <c r="M948" s="71"/>
      <c r="N948" s="71"/>
      <c r="O948" s="71"/>
    </row>
    <row r="949" spans="1:15" x14ac:dyDescent="0.35">
      <c r="A949" s="71"/>
      <c r="B949" s="71"/>
      <c r="C949" s="71"/>
      <c r="D949" s="71"/>
      <c r="E949" s="68"/>
      <c r="F949" s="68"/>
      <c r="G949" s="71"/>
      <c r="H949" s="71"/>
      <c r="I949" s="71"/>
      <c r="J949" s="71"/>
      <c r="K949" s="71"/>
      <c r="L949" s="71"/>
      <c r="M949" s="71"/>
      <c r="N949" s="71"/>
      <c r="O949" s="71"/>
    </row>
    <row r="950" spans="1:15" x14ac:dyDescent="0.35">
      <c r="A950" s="71"/>
      <c r="B950" s="71"/>
      <c r="C950" s="71"/>
      <c r="D950" s="71"/>
      <c r="E950" s="68"/>
      <c r="F950" s="68"/>
      <c r="G950" s="71"/>
      <c r="H950" s="71"/>
      <c r="I950" s="71"/>
      <c r="J950" s="71"/>
      <c r="K950" s="71"/>
      <c r="L950" s="71"/>
      <c r="M950" s="71"/>
      <c r="N950" s="71"/>
      <c r="O950" s="71"/>
    </row>
    <row r="951" spans="1:15" x14ac:dyDescent="0.35">
      <c r="A951" s="71"/>
      <c r="B951" s="71"/>
      <c r="C951" s="71"/>
      <c r="D951" s="71"/>
      <c r="E951" s="68"/>
      <c r="F951" s="68"/>
      <c r="G951" s="71"/>
      <c r="H951" s="71"/>
      <c r="I951" s="71"/>
      <c r="J951" s="71"/>
      <c r="K951" s="71"/>
      <c r="L951" s="71"/>
      <c r="M951" s="71"/>
      <c r="N951" s="71"/>
      <c r="O951" s="71"/>
    </row>
    <row r="952" spans="1:15" x14ac:dyDescent="0.35">
      <c r="A952" s="71"/>
      <c r="B952" s="71"/>
      <c r="C952" s="71"/>
      <c r="D952" s="71"/>
      <c r="E952" s="68"/>
      <c r="F952" s="68"/>
      <c r="G952" s="71"/>
      <c r="H952" s="71"/>
      <c r="I952" s="71"/>
      <c r="J952" s="71"/>
      <c r="K952" s="71"/>
      <c r="L952" s="71"/>
      <c r="M952" s="71"/>
      <c r="N952" s="71"/>
      <c r="O952" s="71"/>
    </row>
    <row r="953" spans="1:15" x14ac:dyDescent="0.35">
      <c r="A953" s="71"/>
      <c r="B953" s="71"/>
      <c r="C953" s="71"/>
      <c r="D953" s="71"/>
      <c r="E953" s="68"/>
      <c r="F953" s="68"/>
      <c r="G953" s="71"/>
      <c r="H953" s="71"/>
      <c r="I953" s="71"/>
      <c r="J953" s="71"/>
      <c r="K953" s="71"/>
      <c r="L953" s="71"/>
      <c r="M953" s="71"/>
      <c r="N953" s="71"/>
      <c r="O953" s="71"/>
    </row>
    <row r="954" spans="1:15" x14ac:dyDescent="0.35">
      <c r="A954" s="71"/>
      <c r="B954" s="71"/>
      <c r="C954" s="71"/>
      <c r="D954" s="71"/>
      <c r="E954" s="68"/>
      <c r="F954" s="68"/>
      <c r="G954" s="71"/>
      <c r="H954" s="71"/>
      <c r="I954" s="71"/>
      <c r="J954" s="71"/>
      <c r="K954" s="71"/>
      <c r="L954" s="71"/>
      <c r="M954" s="71"/>
      <c r="N954" s="71"/>
      <c r="O954" s="71"/>
    </row>
    <row r="955" spans="1:15" x14ac:dyDescent="0.35">
      <c r="A955" s="71"/>
      <c r="B955" s="71"/>
      <c r="C955" s="71"/>
      <c r="D955" s="71"/>
      <c r="E955" s="68"/>
      <c r="F955" s="68"/>
      <c r="G955" s="71"/>
      <c r="H955" s="71"/>
      <c r="I955" s="71"/>
      <c r="J955" s="71"/>
      <c r="K955" s="71"/>
      <c r="L955" s="71"/>
      <c r="M955" s="71"/>
      <c r="N955" s="71"/>
      <c r="O955" s="71"/>
    </row>
    <row r="956" spans="1:15" x14ac:dyDescent="0.35">
      <c r="A956" s="71"/>
      <c r="B956" s="71"/>
      <c r="C956" s="71"/>
      <c r="D956" s="71"/>
      <c r="E956" s="68"/>
      <c r="F956" s="68"/>
      <c r="G956" s="71"/>
      <c r="H956" s="71"/>
      <c r="I956" s="71"/>
      <c r="J956" s="71"/>
      <c r="K956" s="71"/>
      <c r="L956" s="71"/>
      <c r="M956" s="71"/>
      <c r="N956" s="71"/>
      <c r="O956" s="71"/>
    </row>
    <row r="957" spans="1:15" x14ac:dyDescent="0.35">
      <c r="A957" s="71"/>
      <c r="B957" s="71"/>
      <c r="C957" s="71"/>
      <c r="D957" s="71"/>
      <c r="E957" s="68"/>
      <c r="F957" s="68"/>
      <c r="G957" s="71"/>
      <c r="H957" s="71"/>
      <c r="I957" s="71"/>
      <c r="J957" s="71"/>
      <c r="K957" s="71"/>
      <c r="L957" s="71"/>
      <c r="M957" s="71"/>
      <c r="N957" s="71"/>
      <c r="O957" s="71"/>
    </row>
    <row r="958" spans="1:15" x14ac:dyDescent="0.35">
      <c r="A958" s="71"/>
      <c r="B958" s="71"/>
      <c r="C958" s="71"/>
      <c r="D958" s="71"/>
      <c r="E958" s="68"/>
      <c r="F958" s="68"/>
      <c r="G958" s="71"/>
      <c r="H958" s="71"/>
      <c r="I958" s="71"/>
      <c r="J958" s="71"/>
      <c r="K958" s="71"/>
      <c r="L958" s="71"/>
      <c r="M958" s="71"/>
      <c r="N958" s="71"/>
      <c r="O958" s="71"/>
    </row>
    <row r="959" spans="1:15" x14ac:dyDescent="0.35">
      <c r="A959" s="71"/>
      <c r="B959" s="71"/>
      <c r="C959" s="71"/>
      <c r="D959" s="71"/>
      <c r="E959" s="68"/>
      <c r="F959" s="68"/>
      <c r="G959" s="71"/>
      <c r="H959" s="71"/>
      <c r="I959" s="71"/>
      <c r="J959" s="71"/>
      <c r="K959" s="71"/>
      <c r="L959" s="71"/>
      <c r="M959" s="71"/>
      <c r="N959" s="71"/>
      <c r="O959" s="71"/>
    </row>
    <row r="960" spans="1:15" x14ac:dyDescent="0.35">
      <c r="A960" s="71"/>
      <c r="B960" s="71"/>
      <c r="C960" s="71"/>
      <c r="D960" s="71"/>
      <c r="E960" s="68"/>
      <c r="F960" s="68"/>
      <c r="G960" s="71"/>
      <c r="H960" s="71"/>
      <c r="I960" s="71"/>
      <c r="J960" s="71"/>
      <c r="K960" s="71"/>
      <c r="L960" s="71"/>
      <c r="M960" s="71"/>
      <c r="N960" s="71"/>
      <c r="O960" s="71"/>
    </row>
    <row r="961" spans="1:15" x14ac:dyDescent="0.35">
      <c r="A961" s="71"/>
      <c r="B961" s="71"/>
      <c r="C961" s="71"/>
      <c r="D961" s="71"/>
      <c r="E961" s="68"/>
      <c r="F961" s="68"/>
      <c r="G961" s="71"/>
      <c r="H961" s="71"/>
      <c r="I961" s="71"/>
      <c r="J961" s="71"/>
      <c r="K961" s="71"/>
      <c r="L961" s="71"/>
      <c r="M961" s="71"/>
      <c r="N961" s="71"/>
      <c r="O961" s="71"/>
    </row>
    <row r="962" spans="1:15" x14ac:dyDescent="0.35">
      <c r="A962" s="71"/>
      <c r="B962" s="71"/>
      <c r="C962" s="71"/>
      <c r="D962" s="71"/>
      <c r="E962" s="68"/>
      <c r="F962" s="68"/>
      <c r="G962" s="71"/>
      <c r="H962" s="71"/>
      <c r="I962" s="71"/>
      <c r="J962" s="71"/>
      <c r="K962" s="71"/>
      <c r="L962" s="71"/>
      <c r="M962" s="71"/>
      <c r="N962" s="71"/>
      <c r="O962" s="71"/>
    </row>
    <row r="963" spans="1:15" x14ac:dyDescent="0.35">
      <c r="A963" s="71"/>
      <c r="B963" s="71"/>
      <c r="C963" s="71"/>
      <c r="D963" s="71"/>
      <c r="E963" s="68"/>
      <c r="F963" s="68"/>
      <c r="G963" s="71"/>
      <c r="H963" s="71"/>
      <c r="I963" s="71"/>
      <c r="J963" s="71"/>
      <c r="K963" s="71"/>
      <c r="L963" s="71"/>
      <c r="M963" s="71"/>
      <c r="N963" s="71"/>
      <c r="O963" s="71"/>
    </row>
    <row r="964" spans="1:15" x14ac:dyDescent="0.35">
      <c r="A964" s="71"/>
      <c r="B964" s="71"/>
      <c r="C964" s="71"/>
      <c r="D964" s="71"/>
      <c r="E964" s="68"/>
      <c r="F964" s="68"/>
      <c r="G964" s="71"/>
      <c r="H964" s="71"/>
      <c r="I964" s="71"/>
      <c r="J964" s="71"/>
      <c r="K964" s="71"/>
      <c r="L964" s="71"/>
      <c r="M964" s="71"/>
      <c r="N964" s="71"/>
      <c r="O964" s="71"/>
    </row>
    <row r="965" spans="1:15" x14ac:dyDescent="0.35">
      <c r="A965" s="71"/>
      <c r="B965" s="71"/>
      <c r="C965" s="71"/>
      <c r="D965" s="71"/>
      <c r="E965" s="68"/>
      <c r="F965" s="68"/>
      <c r="G965" s="71"/>
      <c r="H965" s="71"/>
      <c r="I965" s="71"/>
      <c r="J965" s="71"/>
      <c r="K965" s="71"/>
      <c r="L965" s="71"/>
      <c r="M965" s="71"/>
      <c r="N965" s="71"/>
      <c r="O965" s="71"/>
    </row>
    <row r="966" spans="1:15" x14ac:dyDescent="0.35">
      <c r="A966" s="71"/>
      <c r="B966" s="71"/>
      <c r="C966" s="71"/>
      <c r="D966" s="71"/>
      <c r="E966" s="68"/>
      <c r="F966" s="68"/>
      <c r="G966" s="71"/>
      <c r="H966" s="71"/>
      <c r="I966" s="71"/>
      <c r="J966" s="71"/>
      <c r="K966" s="71"/>
      <c r="L966" s="71"/>
      <c r="M966" s="71"/>
      <c r="N966" s="71"/>
      <c r="O966" s="71"/>
    </row>
    <row r="967" spans="1:15" x14ac:dyDescent="0.35">
      <c r="A967" s="71"/>
      <c r="B967" s="71"/>
      <c r="C967" s="71"/>
      <c r="D967" s="71"/>
      <c r="E967" s="68"/>
      <c r="F967" s="68"/>
      <c r="G967" s="71"/>
      <c r="H967" s="71"/>
      <c r="I967" s="71"/>
      <c r="J967" s="71"/>
      <c r="K967" s="71"/>
      <c r="L967" s="71"/>
      <c r="M967" s="71"/>
      <c r="N967" s="71"/>
      <c r="O967" s="71"/>
    </row>
    <row r="968" spans="1:15" x14ac:dyDescent="0.35">
      <c r="A968" s="71"/>
      <c r="B968" s="71"/>
      <c r="C968" s="71"/>
      <c r="D968" s="71"/>
      <c r="E968" s="68"/>
      <c r="F968" s="68"/>
      <c r="G968" s="71"/>
      <c r="H968" s="71"/>
      <c r="I968" s="71"/>
      <c r="J968" s="71"/>
      <c r="K968" s="71"/>
      <c r="L968" s="71"/>
      <c r="M968" s="71"/>
      <c r="N968" s="71"/>
      <c r="O968" s="71"/>
    </row>
    <row r="969" spans="1:15" x14ac:dyDescent="0.35">
      <c r="A969" s="71"/>
      <c r="B969" s="71"/>
      <c r="C969" s="71"/>
      <c r="D969" s="71"/>
      <c r="E969" s="68"/>
      <c r="F969" s="68"/>
      <c r="G969" s="71"/>
      <c r="H969" s="71"/>
      <c r="I969" s="71"/>
      <c r="J969" s="71"/>
      <c r="K969" s="71"/>
      <c r="L969" s="71"/>
      <c r="M969" s="71"/>
      <c r="N969" s="71"/>
      <c r="O969" s="71"/>
    </row>
    <row r="970" spans="1:15" x14ac:dyDescent="0.35">
      <c r="A970" s="71"/>
      <c r="B970" s="71"/>
      <c r="C970" s="71"/>
      <c r="D970" s="71"/>
      <c r="E970" s="68"/>
      <c r="F970" s="68"/>
      <c r="G970" s="71"/>
      <c r="H970" s="71"/>
      <c r="I970" s="71"/>
      <c r="J970" s="71"/>
      <c r="K970" s="71"/>
      <c r="L970" s="71"/>
      <c r="M970" s="71"/>
      <c r="N970" s="71"/>
      <c r="O970" s="71"/>
    </row>
    <row r="971" spans="1:15" x14ac:dyDescent="0.35">
      <c r="A971" s="71"/>
      <c r="B971" s="71"/>
      <c r="C971" s="71"/>
      <c r="D971" s="71"/>
      <c r="E971" s="68"/>
      <c r="F971" s="68"/>
      <c r="G971" s="71"/>
      <c r="H971" s="71"/>
      <c r="I971" s="71"/>
      <c r="J971" s="71"/>
      <c r="K971" s="71"/>
      <c r="L971" s="71"/>
      <c r="M971" s="71"/>
      <c r="N971" s="71"/>
      <c r="O971" s="71"/>
    </row>
    <row r="972" spans="1:15" x14ac:dyDescent="0.35">
      <c r="A972" s="71"/>
      <c r="B972" s="71"/>
      <c r="C972" s="71"/>
      <c r="D972" s="71"/>
      <c r="E972" s="68"/>
      <c r="F972" s="68"/>
      <c r="G972" s="71"/>
      <c r="H972" s="71"/>
      <c r="I972" s="71"/>
      <c r="J972" s="71"/>
      <c r="K972" s="71"/>
      <c r="L972" s="71"/>
      <c r="M972" s="71"/>
      <c r="N972" s="71"/>
      <c r="O972" s="71"/>
    </row>
    <row r="973" spans="1:15" x14ac:dyDescent="0.35">
      <c r="A973" s="71"/>
      <c r="B973" s="71"/>
      <c r="C973" s="71"/>
      <c r="D973" s="71"/>
      <c r="E973" s="68"/>
      <c r="F973" s="68"/>
      <c r="G973" s="71"/>
      <c r="H973" s="71"/>
      <c r="I973" s="71"/>
      <c r="J973" s="71"/>
      <c r="K973" s="71"/>
      <c r="L973" s="71"/>
      <c r="M973" s="71"/>
      <c r="N973" s="71"/>
      <c r="O973" s="71"/>
    </row>
    <row r="974" spans="1:15" x14ac:dyDescent="0.35">
      <c r="A974" s="71"/>
      <c r="B974" s="71"/>
      <c r="C974" s="71"/>
      <c r="D974" s="71"/>
      <c r="E974" s="68"/>
      <c r="F974" s="68"/>
      <c r="G974" s="71"/>
      <c r="H974" s="71"/>
      <c r="I974" s="71"/>
      <c r="J974" s="71"/>
      <c r="K974" s="71"/>
      <c r="L974" s="71"/>
      <c r="M974" s="71"/>
      <c r="N974" s="71"/>
      <c r="O974" s="71"/>
    </row>
    <row r="975" spans="1:15" x14ac:dyDescent="0.35">
      <c r="A975" s="71"/>
      <c r="B975" s="71"/>
      <c r="C975" s="71"/>
      <c r="D975" s="71"/>
      <c r="E975" s="68"/>
      <c r="F975" s="68"/>
      <c r="G975" s="71"/>
      <c r="H975" s="71"/>
      <c r="I975" s="71"/>
      <c r="J975" s="71"/>
      <c r="K975" s="71"/>
      <c r="L975" s="71"/>
      <c r="M975" s="71"/>
      <c r="N975" s="71"/>
      <c r="O975" s="71"/>
    </row>
    <row r="976" spans="1:15" x14ac:dyDescent="0.35">
      <c r="A976" s="71"/>
      <c r="B976" s="71"/>
      <c r="C976" s="71"/>
      <c r="D976" s="71"/>
      <c r="E976" s="68"/>
      <c r="F976" s="68"/>
      <c r="G976" s="71"/>
      <c r="H976" s="71"/>
      <c r="I976" s="71"/>
      <c r="J976" s="71"/>
      <c r="K976" s="71"/>
      <c r="L976" s="71"/>
      <c r="M976" s="71"/>
      <c r="N976" s="71"/>
      <c r="O976" s="71"/>
    </row>
    <row r="977" spans="1:15" x14ac:dyDescent="0.35">
      <c r="A977" s="71"/>
      <c r="B977" s="71"/>
      <c r="C977" s="71"/>
      <c r="D977" s="71"/>
      <c r="E977" s="68"/>
      <c r="F977" s="68"/>
      <c r="G977" s="71"/>
      <c r="H977" s="71"/>
      <c r="I977" s="71"/>
      <c r="J977" s="71"/>
      <c r="K977" s="71"/>
      <c r="L977" s="71"/>
      <c r="M977" s="71"/>
      <c r="N977" s="71"/>
      <c r="O977" s="71"/>
    </row>
    <row r="978" spans="1:15" x14ac:dyDescent="0.35">
      <c r="A978" s="71"/>
      <c r="B978" s="71"/>
      <c r="C978" s="71"/>
      <c r="D978" s="71"/>
      <c r="E978" s="68"/>
      <c r="F978" s="68"/>
      <c r="G978" s="71"/>
      <c r="H978" s="71"/>
      <c r="I978" s="71"/>
      <c r="J978" s="71"/>
      <c r="K978" s="71"/>
      <c r="L978" s="71"/>
      <c r="M978" s="71"/>
      <c r="N978" s="71"/>
      <c r="O978" s="71"/>
    </row>
    <row r="979" spans="1:15" x14ac:dyDescent="0.35">
      <c r="A979" s="71"/>
      <c r="B979" s="71"/>
      <c r="C979" s="71"/>
      <c r="D979" s="71"/>
      <c r="E979" s="68"/>
      <c r="F979" s="68"/>
      <c r="G979" s="71"/>
      <c r="H979" s="71"/>
      <c r="I979" s="71"/>
      <c r="J979" s="71"/>
      <c r="K979" s="71"/>
      <c r="L979" s="71"/>
      <c r="M979" s="71"/>
      <c r="N979" s="71"/>
      <c r="O979" s="71"/>
    </row>
    <row r="980" spans="1:15" x14ac:dyDescent="0.35">
      <c r="A980" s="71"/>
      <c r="B980" s="71"/>
      <c r="C980" s="71"/>
      <c r="D980" s="71"/>
      <c r="E980" s="68"/>
      <c r="F980" s="68"/>
      <c r="G980" s="71"/>
      <c r="H980" s="71"/>
      <c r="I980" s="71"/>
      <c r="J980" s="71"/>
      <c r="K980" s="71"/>
      <c r="L980" s="71"/>
      <c r="M980" s="71"/>
      <c r="N980" s="71"/>
      <c r="O980" s="71"/>
    </row>
    <row r="981" spans="1:15" x14ac:dyDescent="0.35">
      <c r="A981" s="71"/>
      <c r="B981" s="71"/>
      <c r="C981" s="71"/>
      <c r="D981" s="71"/>
      <c r="E981" s="68"/>
      <c r="F981" s="68"/>
      <c r="G981" s="71"/>
      <c r="H981" s="71"/>
      <c r="I981" s="71"/>
      <c r="J981" s="71"/>
      <c r="K981" s="71"/>
      <c r="L981" s="71"/>
      <c r="M981" s="71"/>
      <c r="N981" s="71"/>
      <c r="O981" s="71"/>
    </row>
    <row r="982" spans="1:15" x14ac:dyDescent="0.35">
      <c r="A982" s="71"/>
      <c r="B982" s="71"/>
      <c r="C982" s="71"/>
      <c r="D982" s="71"/>
      <c r="E982" s="68"/>
      <c r="F982" s="68"/>
      <c r="G982" s="71"/>
      <c r="H982" s="71"/>
      <c r="I982" s="71"/>
      <c r="J982" s="71"/>
      <c r="K982" s="71"/>
      <c r="L982" s="71"/>
      <c r="M982" s="71"/>
      <c r="N982" s="71"/>
      <c r="O982" s="71"/>
    </row>
    <row r="983" spans="1:15" x14ac:dyDescent="0.35">
      <c r="A983" s="71"/>
      <c r="B983" s="71"/>
      <c r="C983" s="71"/>
      <c r="D983" s="71"/>
      <c r="E983" s="68"/>
      <c r="F983" s="68"/>
      <c r="G983" s="71"/>
      <c r="H983" s="71"/>
      <c r="I983" s="71"/>
      <c r="J983" s="71"/>
      <c r="K983" s="71"/>
      <c r="L983" s="71"/>
      <c r="M983" s="71"/>
      <c r="N983" s="71"/>
      <c r="O983" s="71"/>
    </row>
    <row r="984" spans="1:15" x14ac:dyDescent="0.35">
      <c r="A984" s="71"/>
      <c r="B984" s="71"/>
      <c r="C984" s="71"/>
      <c r="D984" s="71"/>
      <c r="E984" s="68"/>
      <c r="F984" s="68"/>
      <c r="G984" s="71"/>
      <c r="H984" s="71"/>
      <c r="I984" s="71"/>
      <c r="J984" s="71"/>
      <c r="K984" s="71"/>
      <c r="L984" s="71"/>
      <c r="M984" s="71"/>
      <c r="N984" s="71"/>
      <c r="O984" s="71"/>
    </row>
    <row r="985" spans="1:15" x14ac:dyDescent="0.35">
      <c r="A985" s="71"/>
      <c r="B985" s="71"/>
      <c r="C985" s="71"/>
      <c r="D985" s="71"/>
      <c r="E985" s="68"/>
      <c r="F985" s="68"/>
      <c r="G985" s="71"/>
      <c r="H985" s="71"/>
      <c r="I985" s="71"/>
      <c r="J985" s="71"/>
      <c r="K985" s="71"/>
      <c r="L985" s="71"/>
      <c r="M985" s="71"/>
      <c r="N985" s="71"/>
      <c r="O985" s="71"/>
    </row>
    <row r="986" spans="1:15" x14ac:dyDescent="0.35">
      <c r="A986" s="71"/>
      <c r="B986" s="71"/>
      <c r="C986" s="71"/>
      <c r="D986" s="71"/>
      <c r="E986" s="68"/>
      <c r="F986" s="68"/>
      <c r="G986" s="71"/>
      <c r="H986" s="71"/>
      <c r="I986" s="71"/>
      <c r="J986" s="71"/>
      <c r="K986" s="71"/>
      <c r="L986" s="71"/>
      <c r="M986" s="71"/>
      <c r="N986" s="71"/>
      <c r="O986" s="71"/>
    </row>
    <row r="987" spans="1:15" x14ac:dyDescent="0.35">
      <c r="A987" s="71"/>
      <c r="B987" s="71"/>
      <c r="C987" s="71"/>
      <c r="D987" s="71"/>
      <c r="E987" s="68"/>
      <c r="F987" s="68"/>
      <c r="G987" s="71"/>
      <c r="H987" s="71"/>
      <c r="I987" s="71"/>
      <c r="J987" s="71"/>
      <c r="K987" s="71"/>
      <c r="L987" s="71"/>
      <c r="M987" s="71"/>
      <c r="N987" s="71"/>
      <c r="O987" s="71"/>
    </row>
    <row r="988" spans="1:15" x14ac:dyDescent="0.35">
      <c r="A988" s="71"/>
      <c r="B988" s="71"/>
      <c r="C988" s="71"/>
      <c r="D988" s="71"/>
      <c r="E988" s="68"/>
      <c r="F988" s="68"/>
      <c r="G988" s="71"/>
      <c r="H988" s="71"/>
      <c r="I988" s="71"/>
      <c r="J988" s="71"/>
      <c r="K988" s="71"/>
      <c r="L988" s="71"/>
      <c r="M988" s="71"/>
      <c r="N988" s="71"/>
      <c r="O988" s="71"/>
    </row>
    <row r="989" spans="1:15" x14ac:dyDescent="0.35">
      <c r="A989" s="71"/>
      <c r="B989" s="71"/>
      <c r="C989" s="71"/>
      <c r="D989" s="71"/>
      <c r="E989" s="68"/>
      <c r="F989" s="68"/>
      <c r="G989" s="71"/>
      <c r="H989" s="71"/>
      <c r="I989" s="71"/>
      <c r="J989" s="71"/>
      <c r="K989" s="71"/>
      <c r="L989" s="71"/>
      <c r="M989" s="71"/>
      <c r="N989" s="71"/>
      <c r="O989" s="71"/>
    </row>
    <row r="990" spans="1:15" x14ac:dyDescent="0.35">
      <c r="A990" s="71"/>
      <c r="B990" s="71"/>
      <c r="C990" s="71"/>
      <c r="D990" s="71"/>
      <c r="E990" s="68"/>
      <c r="F990" s="68"/>
      <c r="G990" s="71"/>
      <c r="H990" s="71"/>
      <c r="I990" s="71"/>
      <c r="J990" s="71"/>
      <c r="K990" s="71"/>
      <c r="L990" s="71"/>
      <c r="M990" s="71"/>
      <c r="N990" s="71"/>
      <c r="O990" s="71"/>
    </row>
    <row r="991" spans="1:15" x14ac:dyDescent="0.35">
      <c r="A991" s="71"/>
      <c r="B991" s="71"/>
      <c r="C991" s="71"/>
      <c r="D991" s="71"/>
      <c r="E991" s="68"/>
      <c r="F991" s="68"/>
      <c r="G991" s="71"/>
      <c r="H991" s="71"/>
      <c r="I991" s="71"/>
      <c r="J991" s="71"/>
      <c r="K991" s="71"/>
      <c r="L991" s="71"/>
      <c r="M991" s="71"/>
      <c r="N991" s="71"/>
      <c r="O991" s="71"/>
    </row>
    <row r="992" spans="1:15" x14ac:dyDescent="0.35">
      <c r="A992" s="71"/>
      <c r="B992" s="71"/>
      <c r="C992" s="71"/>
      <c r="D992" s="71"/>
      <c r="E992" s="68"/>
      <c r="F992" s="68"/>
      <c r="G992" s="71"/>
      <c r="H992" s="71"/>
      <c r="I992" s="71"/>
      <c r="J992" s="71"/>
      <c r="K992" s="71"/>
      <c r="L992" s="71"/>
      <c r="M992" s="71"/>
      <c r="N992" s="71"/>
      <c r="O992" s="71"/>
    </row>
    <row r="993" spans="1:15" x14ac:dyDescent="0.35">
      <c r="A993" s="71"/>
      <c r="B993" s="71"/>
      <c r="C993" s="71"/>
      <c r="D993" s="71"/>
      <c r="E993" s="68"/>
      <c r="F993" s="68"/>
      <c r="G993" s="71"/>
      <c r="H993" s="71"/>
      <c r="I993" s="71"/>
      <c r="J993" s="71"/>
      <c r="K993" s="71"/>
      <c r="L993" s="71"/>
      <c r="M993" s="71"/>
      <c r="N993" s="71"/>
      <c r="O993" s="71"/>
    </row>
    <row r="994" spans="1:15" x14ac:dyDescent="0.35">
      <c r="A994" s="71"/>
      <c r="B994" s="71"/>
      <c r="C994" s="71"/>
      <c r="D994" s="71"/>
      <c r="E994" s="68"/>
      <c r="F994" s="68"/>
      <c r="G994" s="71"/>
      <c r="H994" s="71"/>
      <c r="I994" s="71"/>
      <c r="J994" s="71"/>
      <c r="K994" s="71"/>
      <c r="L994" s="71"/>
      <c r="M994" s="71"/>
      <c r="N994" s="71"/>
      <c r="O994" s="71"/>
    </row>
    <row r="995" spans="1:15" x14ac:dyDescent="0.35">
      <c r="A995" s="71"/>
      <c r="B995" s="71"/>
      <c r="C995" s="71"/>
      <c r="D995" s="71"/>
      <c r="E995" s="68"/>
      <c r="F995" s="68"/>
      <c r="G995" s="71"/>
      <c r="H995" s="71"/>
      <c r="I995" s="71"/>
      <c r="J995" s="71"/>
      <c r="K995" s="71"/>
      <c r="L995" s="71"/>
      <c r="M995" s="71"/>
      <c r="N995" s="71"/>
      <c r="O995" s="71"/>
    </row>
    <row r="996" spans="1:15" x14ac:dyDescent="0.35">
      <c r="A996" s="71"/>
      <c r="B996" s="71"/>
      <c r="C996" s="71"/>
      <c r="D996" s="71"/>
      <c r="E996" s="68"/>
      <c r="F996" s="68"/>
      <c r="G996" s="71"/>
      <c r="H996" s="71"/>
      <c r="I996" s="71"/>
      <c r="J996" s="71"/>
      <c r="K996" s="71"/>
      <c r="L996" s="71"/>
      <c r="M996" s="71"/>
      <c r="N996" s="71"/>
      <c r="O996" s="71"/>
    </row>
    <row r="997" spans="1:15" x14ac:dyDescent="0.35">
      <c r="A997" s="71"/>
      <c r="B997" s="71"/>
      <c r="C997" s="71"/>
      <c r="D997" s="71"/>
      <c r="E997" s="68"/>
      <c r="F997" s="68"/>
      <c r="G997" s="71"/>
      <c r="H997" s="71"/>
      <c r="I997" s="71"/>
      <c r="J997" s="71"/>
      <c r="K997" s="71"/>
      <c r="L997" s="71"/>
      <c r="M997" s="71"/>
      <c r="N997" s="71"/>
      <c r="O997" s="71"/>
    </row>
    <row r="998" spans="1:15" x14ac:dyDescent="0.35">
      <c r="A998" s="71"/>
      <c r="B998" s="71"/>
      <c r="C998" s="71"/>
      <c r="D998" s="71"/>
      <c r="E998" s="68"/>
      <c r="F998" s="68"/>
      <c r="G998" s="71"/>
      <c r="H998" s="71"/>
      <c r="I998" s="71"/>
      <c r="J998" s="71"/>
      <c r="K998" s="71"/>
      <c r="L998" s="71"/>
      <c r="M998" s="71"/>
      <c r="N998" s="71"/>
      <c r="O998" s="71"/>
    </row>
    <row r="999" spans="1:15" x14ac:dyDescent="0.35">
      <c r="A999" s="71"/>
      <c r="B999" s="71"/>
      <c r="C999" s="71"/>
      <c r="D999" s="71"/>
      <c r="E999" s="68"/>
      <c r="F999" s="68"/>
      <c r="G999" s="71"/>
      <c r="H999" s="71"/>
      <c r="I999" s="71"/>
      <c r="J999" s="71"/>
      <c r="K999" s="71"/>
      <c r="L999" s="71"/>
      <c r="M999" s="71"/>
      <c r="N999" s="71"/>
      <c r="O999" s="71"/>
    </row>
    <row r="1000" spans="1:15" x14ac:dyDescent="0.35">
      <c r="A1000" s="71"/>
      <c r="B1000" s="71"/>
      <c r="C1000" s="71"/>
      <c r="D1000" s="71"/>
      <c r="E1000" s="68"/>
      <c r="F1000" s="68"/>
      <c r="G1000" s="71"/>
      <c r="H1000" s="71"/>
      <c r="I1000" s="71"/>
      <c r="J1000" s="71"/>
      <c r="K1000" s="71"/>
      <c r="L1000" s="71"/>
      <c r="M1000" s="71"/>
      <c r="N1000" s="71"/>
      <c r="O1000" s="71"/>
    </row>
    <row r="1001" spans="1:15" x14ac:dyDescent="0.35">
      <c r="A1001" s="71"/>
      <c r="B1001" s="71"/>
      <c r="C1001" s="71"/>
      <c r="D1001" s="71"/>
      <c r="E1001" s="68"/>
      <c r="F1001" s="68"/>
      <c r="G1001" s="71"/>
      <c r="H1001" s="71"/>
      <c r="I1001" s="71"/>
      <c r="J1001" s="71"/>
      <c r="K1001" s="71"/>
      <c r="L1001" s="71"/>
      <c r="M1001" s="71"/>
      <c r="N1001" s="71"/>
      <c r="O1001" s="71"/>
    </row>
    <row r="1002" spans="1:15" x14ac:dyDescent="0.35">
      <c r="A1002" s="71"/>
      <c r="B1002" s="71"/>
      <c r="C1002" s="71"/>
      <c r="D1002" s="71"/>
      <c r="E1002" s="68"/>
      <c r="F1002" s="68"/>
      <c r="G1002" s="71"/>
      <c r="H1002" s="71"/>
      <c r="I1002" s="71"/>
      <c r="J1002" s="71"/>
      <c r="K1002" s="71"/>
      <c r="L1002" s="71"/>
      <c r="M1002" s="71"/>
      <c r="N1002" s="71"/>
      <c r="O1002" s="71"/>
    </row>
    <row r="1003" spans="1:15" x14ac:dyDescent="0.35">
      <c r="A1003" s="71"/>
      <c r="B1003" s="71"/>
      <c r="C1003" s="71"/>
      <c r="D1003" s="71"/>
      <c r="E1003" s="68"/>
      <c r="F1003" s="68"/>
      <c r="G1003" s="71"/>
      <c r="H1003" s="71"/>
      <c r="I1003" s="71"/>
      <c r="J1003" s="71"/>
      <c r="K1003" s="71"/>
      <c r="L1003" s="71"/>
      <c r="M1003" s="71"/>
      <c r="N1003" s="71"/>
      <c r="O1003" s="71"/>
    </row>
    <row r="1004" spans="1:15" x14ac:dyDescent="0.35">
      <c r="A1004" s="71"/>
      <c r="B1004" s="71"/>
      <c r="C1004" s="71"/>
      <c r="D1004" s="71"/>
      <c r="E1004" s="68"/>
      <c r="F1004" s="68"/>
      <c r="G1004" s="71"/>
      <c r="H1004" s="71"/>
      <c r="I1004" s="71"/>
      <c r="J1004" s="71"/>
      <c r="K1004" s="71"/>
      <c r="L1004" s="71"/>
      <c r="M1004" s="71"/>
      <c r="N1004" s="71"/>
      <c r="O1004" s="71"/>
    </row>
    <row r="1005" spans="1:15" x14ac:dyDescent="0.35">
      <c r="A1005" s="71"/>
      <c r="B1005" s="71"/>
      <c r="C1005" s="71"/>
      <c r="D1005" s="71"/>
      <c r="E1005" s="68"/>
      <c r="F1005" s="68"/>
      <c r="G1005" s="71"/>
      <c r="H1005" s="71"/>
      <c r="I1005" s="71"/>
      <c r="J1005" s="71"/>
      <c r="K1005" s="71"/>
      <c r="L1005" s="71"/>
      <c r="M1005" s="71"/>
      <c r="N1005" s="71"/>
      <c r="O1005" s="71"/>
    </row>
    <row r="1006" spans="1:15" x14ac:dyDescent="0.35">
      <c r="A1006" s="71"/>
      <c r="B1006" s="71"/>
      <c r="C1006" s="71"/>
      <c r="D1006" s="71"/>
      <c r="E1006" s="68"/>
      <c r="F1006" s="68"/>
      <c r="G1006" s="71"/>
      <c r="H1006" s="71"/>
      <c r="I1006" s="71"/>
      <c r="J1006" s="71"/>
      <c r="K1006" s="71"/>
      <c r="L1006" s="71"/>
      <c r="M1006" s="71"/>
      <c r="N1006" s="71"/>
      <c r="O1006" s="71"/>
    </row>
    <row r="1007" spans="1:15" x14ac:dyDescent="0.35">
      <c r="A1007" s="71"/>
      <c r="B1007" s="71"/>
      <c r="C1007" s="71"/>
      <c r="D1007" s="71"/>
      <c r="E1007" s="68"/>
      <c r="F1007" s="68"/>
      <c r="G1007" s="71"/>
      <c r="H1007" s="71"/>
      <c r="I1007" s="71"/>
      <c r="J1007" s="71"/>
      <c r="K1007" s="71"/>
      <c r="L1007" s="71"/>
      <c r="M1007" s="71"/>
      <c r="N1007" s="71"/>
      <c r="O1007" s="71"/>
    </row>
    <row r="1008" spans="1:15" x14ac:dyDescent="0.35">
      <c r="A1008" s="71"/>
      <c r="B1008" s="71"/>
      <c r="C1008" s="71"/>
      <c r="D1008" s="71"/>
      <c r="E1008" s="68"/>
      <c r="F1008" s="68"/>
      <c r="G1008" s="71"/>
      <c r="H1008" s="71"/>
      <c r="I1008" s="71"/>
      <c r="J1008" s="71"/>
      <c r="K1008" s="71"/>
      <c r="L1008" s="71"/>
      <c r="M1008" s="71"/>
      <c r="N1008" s="71"/>
      <c r="O1008" s="71"/>
    </row>
    <row r="1009" spans="1:15" x14ac:dyDescent="0.35">
      <c r="A1009" s="71"/>
      <c r="B1009" s="71"/>
      <c r="C1009" s="71"/>
      <c r="D1009" s="71"/>
      <c r="E1009" s="68"/>
      <c r="F1009" s="68"/>
      <c r="G1009" s="71"/>
      <c r="H1009" s="71"/>
      <c r="I1009" s="71"/>
      <c r="J1009" s="71"/>
      <c r="K1009" s="71"/>
      <c r="L1009" s="71"/>
      <c r="M1009" s="71"/>
      <c r="N1009" s="71"/>
      <c r="O1009" s="71"/>
    </row>
    <row r="1010" spans="1:15" x14ac:dyDescent="0.35">
      <c r="A1010" s="71"/>
      <c r="B1010" s="71"/>
      <c r="C1010" s="71"/>
      <c r="D1010" s="71"/>
      <c r="E1010" s="68"/>
      <c r="F1010" s="68"/>
      <c r="G1010" s="71"/>
      <c r="H1010" s="71"/>
      <c r="I1010" s="71"/>
      <c r="J1010" s="71"/>
      <c r="K1010" s="71"/>
      <c r="L1010" s="71"/>
      <c r="M1010" s="71"/>
      <c r="N1010" s="71"/>
      <c r="O1010" s="71"/>
    </row>
    <row r="1011" spans="1:15" x14ac:dyDescent="0.35">
      <c r="A1011" s="71"/>
      <c r="B1011" s="71"/>
      <c r="C1011" s="71"/>
      <c r="D1011" s="71"/>
      <c r="E1011" s="68"/>
      <c r="F1011" s="68"/>
      <c r="G1011" s="71"/>
      <c r="H1011" s="71"/>
      <c r="I1011" s="71"/>
      <c r="J1011" s="71"/>
      <c r="K1011" s="71"/>
      <c r="L1011" s="71"/>
      <c r="M1011" s="71"/>
      <c r="N1011" s="71"/>
      <c r="O1011" s="71"/>
    </row>
    <row r="1012" spans="1:15" x14ac:dyDescent="0.35">
      <c r="A1012" s="71"/>
      <c r="B1012" s="71"/>
      <c r="C1012" s="71"/>
      <c r="D1012" s="71"/>
      <c r="E1012" s="68"/>
      <c r="F1012" s="68"/>
      <c r="G1012" s="71"/>
      <c r="H1012" s="71"/>
      <c r="I1012" s="71"/>
      <c r="J1012" s="71"/>
      <c r="K1012" s="71"/>
      <c r="L1012" s="71"/>
      <c r="M1012" s="71"/>
      <c r="N1012" s="71"/>
      <c r="O1012" s="71"/>
    </row>
    <row r="1013" spans="1:15" x14ac:dyDescent="0.35">
      <c r="A1013" s="71"/>
      <c r="B1013" s="71"/>
      <c r="C1013" s="71"/>
      <c r="D1013" s="71"/>
      <c r="E1013" s="68"/>
      <c r="F1013" s="68"/>
      <c r="G1013" s="71"/>
      <c r="H1013" s="71"/>
      <c r="I1013" s="71"/>
      <c r="J1013" s="71"/>
      <c r="K1013" s="71"/>
      <c r="L1013" s="71"/>
      <c r="M1013" s="71"/>
      <c r="N1013" s="71"/>
      <c r="O1013" s="71"/>
    </row>
    <row r="1014" spans="1:15" x14ac:dyDescent="0.35">
      <c r="A1014" s="71"/>
      <c r="B1014" s="71"/>
      <c r="C1014" s="71"/>
      <c r="D1014" s="71"/>
      <c r="E1014" s="68"/>
      <c r="F1014" s="68"/>
      <c r="G1014" s="71"/>
      <c r="H1014" s="71"/>
      <c r="I1014" s="71"/>
      <c r="J1014" s="71"/>
      <c r="K1014" s="71"/>
      <c r="L1014" s="71"/>
      <c r="M1014" s="71"/>
      <c r="N1014" s="71"/>
      <c r="O1014" s="71"/>
    </row>
    <row r="1015" spans="1:15" x14ac:dyDescent="0.35">
      <c r="A1015" s="71"/>
      <c r="B1015" s="71"/>
      <c r="C1015" s="71"/>
      <c r="D1015" s="71"/>
      <c r="E1015" s="68"/>
      <c r="F1015" s="68"/>
      <c r="G1015" s="71"/>
      <c r="H1015" s="71"/>
      <c r="I1015" s="71"/>
      <c r="J1015" s="71"/>
      <c r="K1015" s="71"/>
      <c r="L1015" s="71"/>
      <c r="M1015" s="71"/>
      <c r="N1015" s="71"/>
      <c r="O1015" s="71"/>
    </row>
    <row r="1016" spans="1:15" x14ac:dyDescent="0.35">
      <c r="A1016" s="71"/>
      <c r="B1016" s="71"/>
      <c r="C1016" s="71"/>
      <c r="D1016" s="71"/>
      <c r="E1016" s="68"/>
      <c r="F1016" s="68"/>
      <c r="G1016" s="71"/>
      <c r="H1016" s="71"/>
      <c r="I1016" s="71"/>
      <c r="J1016" s="71"/>
      <c r="K1016" s="71"/>
      <c r="L1016" s="71"/>
      <c r="M1016" s="71"/>
      <c r="N1016" s="71"/>
      <c r="O1016" s="71"/>
    </row>
    <row r="1017" spans="1:15" x14ac:dyDescent="0.35">
      <c r="A1017" s="71"/>
      <c r="B1017" s="71"/>
      <c r="C1017" s="71"/>
      <c r="D1017" s="71"/>
      <c r="E1017" s="68"/>
      <c r="F1017" s="68"/>
      <c r="G1017" s="71"/>
      <c r="H1017" s="71"/>
      <c r="I1017" s="71"/>
      <c r="J1017" s="71"/>
      <c r="K1017" s="71"/>
      <c r="L1017" s="71"/>
      <c r="M1017" s="71"/>
      <c r="N1017" s="71"/>
      <c r="O1017" s="71"/>
    </row>
    <row r="1018" spans="1:15" x14ac:dyDescent="0.35">
      <c r="A1018" s="71"/>
      <c r="B1018" s="71"/>
      <c r="C1018" s="71"/>
      <c r="D1018" s="71"/>
      <c r="E1018" s="68"/>
      <c r="F1018" s="68"/>
      <c r="G1018" s="71"/>
      <c r="H1018" s="71"/>
      <c r="I1018" s="71"/>
      <c r="J1018" s="71"/>
      <c r="K1018" s="71"/>
      <c r="L1018" s="71"/>
      <c r="M1018" s="71"/>
      <c r="N1018" s="71"/>
      <c r="O1018" s="71"/>
    </row>
    <row r="1019" spans="1:15" x14ac:dyDescent="0.35">
      <c r="A1019" s="71"/>
      <c r="B1019" s="71"/>
      <c r="C1019" s="71"/>
      <c r="D1019" s="71"/>
      <c r="E1019" s="68"/>
      <c r="F1019" s="68"/>
      <c r="G1019" s="71"/>
      <c r="H1019" s="71"/>
      <c r="I1019" s="71"/>
      <c r="J1019" s="71"/>
      <c r="K1019" s="71"/>
      <c r="L1019" s="71"/>
      <c r="M1019" s="71"/>
      <c r="N1019" s="71"/>
      <c r="O1019" s="71"/>
    </row>
    <row r="1020" spans="1:15" x14ac:dyDescent="0.35">
      <c r="A1020" s="71"/>
      <c r="B1020" s="71"/>
      <c r="C1020" s="71"/>
      <c r="D1020" s="71"/>
      <c r="E1020" s="68"/>
      <c r="F1020" s="68"/>
      <c r="G1020" s="71"/>
      <c r="H1020" s="71"/>
      <c r="I1020" s="71"/>
      <c r="J1020" s="71"/>
      <c r="K1020" s="71"/>
      <c r="L1020" s="71"/>
      <c r="M1020" s="71"/>
      <c r="N1020" s="71"/>
      <c r="O1020" s="71"/>
    </row>
    <row r="1021" spans="1:15" x14ac:dyDescent="0.35">
      <c r="A1021" s="71"/>
      <c r="B1021" s="71"/>
      <c r="C1021" s="71"/>
      <c r="D1021" s="71"/>
      <c r="E1021" s="68"/>
      <c r="F1021" s="68"/>
      <c r="G1021" s="71"/>
      <c r="H1021" s="71"/>
      <c r="I1021" s="71"/>
      <c r="J1021" s="71"/>
      <c r="K1021" s="71"/>
      <c r="L1021" s="71"/>
      <c r="M1021" s="71"/>
      <c r="N1021" s="71"/>
      <c r="O1021" s="71"/>
    </row>
    <row r="1022" spans="1:15" x14ac:dyDescent="0.35">
      <c r="A1022" s="71"/>
      <c r="B1022" s="71"/>
      <c r="C1022" s="71"/>
      <c r="D1022" s="71"/>
      <c r="E1022" s="68"/>
      <c r="F1022" s="68"/>
      <c r="G1022" s="71"/>
      <c r="H1022" s="71"/>
      <c r="I1022" s="71"/>
      <c r="J1022" s="71"/>
      <c r="K1022" s="71"/>
      <c r="L1022" s="71"/>
      <c r="M1022" s="71"/>
      <c r="N1022" s="71"/>
      <c r="O1022" s="71"/>
    </row>
    <row r="1023" spans="1:15" x14ac:dyDescent="0.35">
      <c r="A1023" s="71"/>
      <c r="B1023" s="71"/>
      <c r="C1023" s="71"/>
      <c r="D1023" s="71"/>
      <c r="E1023" s="68"/>
      <c r="F1023" s="68"/>
      <c r="G1023" s="71"/>
      <c r="H1023" s="71"/>
      <c r="I1023" s="71"/>
      <c r="J1023" s="71"/>
      <c r="K1023" s="71"/>
      <c r="L1023" s="71"/>
      <c r="M1023" s="71"/>
      <c r="N1023" s="71"/>
      <c r="O1023" s="71"/>
    </row>
    <row r="1024" spans="1:15" x14ac:dyDescent="0.35">
      <c r="A1024" s="71"/>
      <c r="B1024" s="71"/>
      <c r="C1024" s="71"/>
      <c r="D1024" s="71"/>
      <c r="E1024" s="68"/>
      <c r="F1024" s="68"/>
      <c r="G1024" s="71"/>
      <c r="H1024" s="71"/>
      <c r="I1024" s="71"/>
      <c r="J1024" s="71"/>
      <c r="K1024" s="71"/>
      <c r="L1024" s="71"/>
      <c r="M1024" s="71"/>
      <c r="N1024" s="71"/>
      <c r="O1024" s="71"/>
    </row>
    <row r="1025" spans="1:15" x14ac:dyDescent="0.35">
      <c r="A1025" s="71"/>
      <c r="B1025" s="71"/>
      <c r="C1025" s="71"/>
      <c r="D1025" s="71"/>
      <c r="E1025" s="68"/>
      <c r="F1025" s="68"/>
      <c r="G1025" s="71"/>
      <c r="H1025" s="71"/>
      <c r="I1025" s="71"/>
      <c r="J1025" s="71"/>
      <c r="K1025" s="71"/>
      <c r="L1025" s="71"/>
      <c r="M1025" s="71"/>
      <c r="N1025" s="71"/>
      <c r="O1025" s="71"/>
    </row>
    <row r="1026" spans="1:15" x14ac:dyDescent="0.35">
      <c r="A1026" s="71"/>
      <c r="B1026" s="71"/>
      <c r="C1026" s="71"/>
      <c r="D1026" s="71"/>
      <c r="E1026" s="68"/>
      <c r="F1026" s="68"/>
      <c r="G1026" s="71"/>
      <c r="H1026" s="71"/>
      <c r="I1026" s="71"/>
      <c r="J1026" s="71"/>
      <c r="K1026" s="71"/>
      <c r="L1026" s="71"/>
      <c r="M1026" s="71"/>
      <c r="N1026" s="71"/>
      <c r="O1026" s="71"/>
    </row>
    <row r="1027" spans="1:15" x14ac:dyDescent="0.35">
      <c r="A1027" s="71"/>
      <c r="B1027" s="71"/>
      <c r="C1027" s="71"/>
      <c r="D1027" s="71"/>
      <c r="E1027" s="68"/>
      <c r="F1027" s="68"/>
      <c r="G1027" s="71"/>
      <c r="H1027" s="71"/>
      <c r="I1027" s="71"/>
      <c r="J1027" s="71"/>
      <c r="K1027" s="71"/>
      <c r="L1027" s="71"/>
      <c r="M1027" s="71"/>
      <c r="N1027" s="71"/>
      <c r="O1027" s="71"/>
    </row>
    <row r="1028" spans="1:15" x14ac:dyDescent="0.35">
      <c r="A1028" s="71"/>
      <c r="B1028" s="71"/>
      <c r="C1028" s="71"/>
      <c r="D1028" s="71"/>
      <c r="E1028" s="68"/>
      <c r="F1028" s="68"/>
      <c r="G1028" s="71"/>
      <c r="H1028" s="71"/>
      <c r="I1028" s="71"/>
      <c r="J1028" s="71"/>
      <c r="K1028" s="71"/>
      <c r="L1028" s="71"/>
      <c r="M1028" s="71"/>
      <c r="N1028" s="71"/>
      <c r="O1028" s="71"/>
    </row>
    <row r="1029" spans="1:15" x14ac:dyDescent="0.35">
      <c r="A1029" s="71"/>
      <c r="B1029" s="71"/>
      <c r="C1029" s="71"/>
      <c r="D1029" s="71"/>
      <c r="E1029" s="68"/>
      <c r="F1029" s="68"/>
      <c r="G1029" s="71"/>
      <c r="H1029" s="71"/>
      <c r="I1029" s="71"/>
      <c r="J1029" s="71"/>
      <c r="K1029" s="71"/>
      <c r="L1029" s="71"/>
      <c r="M1029" s="71"/>
      <c r="N1029" s="71"/>
      <c r="O1029" s="71"/>
    </row>
    <row r="1030" spans="1:15" x14ac:dyDescent="0.35">
      <c r="A1030" s="71"/>
      <c r="B1030" s="71"/>
      <c r="C1030" s="71"/>
      <c r="D1030" s="71"/>
      <c r="E1030" s="68"/>
      <c r="F1030" s="68"/>
      <c r="G1030" s="71"/>
      <c r="H1030" s="71"/>
      <c r="I1030" s="71"/>
      <c r="J1030" s="71"/>
      <c r="K1030" s="71"/>
      <c r="L1030" s="71"/>
      <c r="M1030" s="71"/>
      <c r="N1030" s="71"/>
      <c r="O1030" s="71"/>
    </row>
    <row r="1031" spans="1:15" x14ac:dyDescent="0.35">
      <c r="A1031" s="71"/>
      <c r="B1031" s="71"/>
      <c r="C1031" s="71"/>
      <c r="D1031" s="71"/>
      <c r="E1031" s="68"/>
      <c r="F1031" s="68"/>
      <c r="G1031" s="71"/>
      <c r="H1031" s="71"/>
      <c r="I1031" s="71"/>
      <c r="J1031" s="71"/>
      <c r="K1031" s="71"/>
      <c r="L1031" s="71"/>
      <c r="M1031" s="71"/>
      <c r="N1031" s="71"/>
      <c r="O1031" s="71"/>
    </row>
    <row r="1032" spans="1:15" x14ac:dyDescent="0.35">
      <c r="A1032" s="71"/>
      <c r="B1032" s="71"/>
      <c r="C1032" s="71"/>
      <c r="D1032" s="71"/>
      <c r="E1032" s="68"/>
      <c r="F1032" s="68"/>
      <c r="G1032" s="71"/>
      <c r="H1032" s="71"/>
      <c r="I1032" s="71"/>
      <c r="J1032" s="71"/>
      <c r="K1032" s="71"/>
      <c r="L1032" s="71"/>
      <c r="M1032" s="71"/>
      <c r="N1032" s="71"/>
      <c r="O1032" s="71"/>
    </row>
    <row r="1033" spans="1:15" x14ac:dyDescent="0.35">
      <c r="A1033" s="71"/>
      <c r="B1033" s="71"/>
      <c r="C1033" s="71"/>
      <c r="D1033" s="71"/>
      <c r="E1033" s="68"/>
      <c r="F1033" s="68"/>
      <c r="G1033" s="71"/>
      <c r="H1033" s="71"/>
      <c r="I1033" s="71"/>
      <c r="J1033" s="71"/>
      <c r="K1033" s="71"/>
      <c r="L1033" s="71"/>
      <c r="M1033" s="71"/>
      <c r="N1033" s="71"/>
      <c r="O1033" s="71"/>
    </row>
    <row r="1034" spans="1:15" x14ac:dyDescent="0.35">
      <c r="A1034" s="71"/>
      <c r="B1034" s="71"/>
      <c r="C1034" s="71"/>
      <c r="D1034" s="71"/>
      <c r="E1034" s="68"/>
      <c r="F1034" s="68"/>
      <c r="G1034" s="71"/>
      <c r="H1034" s="71"/>
      <c r="I1034" s="71"/>
      <c r="J1034" s="71"/>
      <c r="K1034" s="71"/>
      <c r="L1034" s="71"/>
      <c r="M1034" s="71"/>
      <c r="N1034" s="71"/>
      <c r="O1034" s="71"/>
    </row>
    <row r="1035" spans="1:15" x14ac:dyDescent="0.35">
      <c r="A1035" s="71"/>
      <c r="B1035" s="71"/>
      <c r="C1035" s="71"/>
      <c r="D1035" s="71"/>
      <c r="E1035" s="68"/>
      <c r="F1035" s="68"/>
      <c r="G1035" s="71"/>
      <c r="H1035" s="71"/>
      <c r="I1035" s="71"/>
      <c r="J1035" s="71"/>
      <c r="K1035" s="71"/>
      <c r="L1035" s="71"/>
      <c r="M1035" s="71"/>
      <c r="N1035" s="71"/>
      <c r="O1035" s="71"/>
    </row>
    <row r="1036" spans="1:15" x14ac:dyDescent="0.35">
      <c r="A1036" s="71"/>
      <c r="B1036" s="71"/>
      <c r="C1036" s="71"/>
      <c r="D1036" s="71"/>
      <c r="E1036" s="68"/>
      <c r="F1036" s="68"/>
      <c r="G1036" s="71"/>
      <c r="H1036" s="71"/>
      <c r="I1036" s="71"/>
      <c r="J1036" s="71"/>
      <c r="K1036" s="71"/>
      <c r="L1036" s="71"/>
      <c r="M1036" s="71"/>
      <c r="N1036" s="71"/>
      <c r="O1036" s="71"/>
    </row>
    <row r="1037" spans="1:15" x14ac:dyDescent="0.35">
      <c r="A1037" s="71"/>
      <c r="B1037" s="71"/>
      <c r="C1037" s="71"/>
      <c r="D1037" s="71"/>
      <c r="E1037" s="68"/>
      <c r="F1037" s="68"/>
      <c r="G1037" s="71"/>
      <c r="H1037" s="71"/>
      <c r="I1037" s="71"/>
      <c r="J1037" s="71"/>
      <c r="K1037" s="71"/>
      <c r="L1037" s="71"/>
      <c r="M1037" s="71"/>
      <c r="N1037" s="71"/>
      <c r="O1037" s="71"/>
    </row>
    <row r="1038" spans="1:15" x14ac:dyDescent="0.35">
      <c r="A1038" s="71"/>
      <c r="B1038" s="71"/>
      <c r="C1038" s="71"/>
      <c r="D1038" s="71"/>
      <c r="E1038" s="68"/>
      <c r="F1038" s="68"/>
      <c r="G1038" s="71"/>
      <c r="H1038" s="71"/>
      <c r="I1038" s="71"/>
      <c r="J1038" s="71"/>
      <c r="K1038" s="71"/>
      <c r="L1038" s="71"/>
      <c r="M1038" s="71"/>
      <c r="N1038" s="71"/>
      <c r="O1038" s="71"/>
    </row>
    <row r="1039" spans="1:15" x14ac:dyDescent="0.35">
      <c r="A1039" s="71"/>
      <c r="B1039" s="71"/>
      <c r="C1039" s="71"/>
      <c r="D1039" s="71"/>
      <c r="E1039" s="68"/>
      <c r="F1039" s="68"/>
      <c r="G1039" s="71"/>
      <c r="H1039" s="71"/>
      <c r="I1039" s="71"/>
      <c r="J1039" s="71"/>
      <c r="K1039" s="71"/>
      <c r="L1039" s="71"/>
      <c r="M1039" s="71"/>
      <c r="N1039" s="71"/>
      <c r="O1039" s="71"/>
    </row>
    <row r="1040" spans="1:15" x14ac:dyDescent="0.35">
      <c r="A1040" s="71"/>
      <c r="B1040" s="71"/>
      <c r="C1040" s="71"/>
      <c r="D1040" s="71"/>
      <c r="E1040" s="68"/>
      <c r="F1040" s="68"/>
      <c r="G1040" s="71"/>
      <c r="H1040" s="71"/>
      <c r="I1040" s="71"/>
      <c r="J1040" s="71"/>
      <c r="K1040" s="71"/>
      <c r="L1040" s="71"/>
      <c r="M1040" s="71"/>
      <c r="N1040" s="71"/>
      <c r="O1040" s="71"/>
    </row>
    <row r="1041" spans="1:15" x14ac:dyDescent="0.35">
      <c r="A1041" s="71"/>
      <c r="B1041" s="71"/>
      <c r="C1041" s="71"/>
      <c r="D1041" s="71"/>
      <c r="E1041" s="68"/>
      <c r="F1041" s="68"/>
      <c r="G1041" s="71"/>
      <c r="H1041" s="71"/>
      <c r="I1041" s="71"/>
      <c r="J1041" s="71"/>
      <c r="K1041" s="71"/>
      <c r="L1041" s="71"/>
      <c r="M1041" s="71"/>
      <c r="N1041" s="71"/>
      <c r="O1041" s="71"/>
    </row>
    <row r="1042" spans="1:15" x14ac:dyDescent="0.35">
      <c r="A1042" s="71"/>
      <c r="B1042" s="71"/>
      <c r="C1042" s="71"/>
      <c r="D1042" s="71"/>
      <c r="E1042" s="68"/>
      <c r="F1042" s="68"/>
      <c r="G1042" s="71"/>
      <c r="H1042" s="71"/>
      <c r="I1042" s="71"/>
      <c r="J1042" s="71"/>
      <c r="K1042" s="71"/>
      <c r="L1042" s="71"/>
      <c r="M1042" s="71"/>
      <c r="N1042" s="71"/>
      <c r="O1042" s="71"/>
    </row>
    <row r="1043" spans="1:15" x14ac:dyDescent="0.35">
      <c r="A1043" s="71"/>
      <c r="B1043" s="71"/>
      <c r="C1043" s="71"/>
      <c r="D1043" s="71"/>
      <c r="E1043" s="68"/>
      <c r="F1043" s="68"/>
      <c r="G1043" s="71"/>
      <c r="H1043" s="71"/>
      <c r="I1043" s="71"/>
      <c r="J1043" s="71"/>
      <c r="K1043" s="71"/>
      <c r="L1043" s="71"/>
      <c r="M1043" s="71"/>
      <c r="N1043" s="71"/>
      <c r="O1043" s="71"/>
    </row>
    <row r="1044" spans="1:15" x14ac:dyDescent="0.35">
      <c r="A1044" s="71"/>
      <c r="B1044" s="71"/>
      <c r="C1044" s="71"/>
      <c r="D1044" s="71"/>
      <c r="E1044" s="68"/>
      <c r="F1044" s="68"/>
      <c r="G1044" s="71"/>
      <c r="H1044" s="71"/>
      <c r="I1044" s="71"/>
      <c r="J1044" s="71"/>
      <c r="K1044" s="71"/>
      <c r="L1044" s="71"/>
      <c r="M1044" s="71"/>
      <c r="N1044" s="71"/>
      <c r="O1044" s="71"/>
    </row>
    <row r="1045" spans="1:15" x14ac:dyDescent="0.35">
      <c r="A1045" s="71"/>
      <c r="B1045" s="71"/>
      <c r="C1045" s="71"/>
      <c r="D1045" s="71"/>
      <c r="E1045" s="68"/>
      <c r="F1045" s="68"/>
      <c r="G1045" s="71"/>
      <c r="H1045" s="71"/>
      <c r="I1045" s="71"/>
      <c r="J1045" s="71"/>
      <c r="K1045" s="71"/>
      <c r="L1045" s="71"/>
      <c r="M1045" s="71"/>
      <c r="N1045" s="71"/>
      <c r="O1045" s="71"/>
    </row>
    <row r="1046" spans="1:15" x14ac:dyDescent="0.35">
      <c r="A1046" s="71"/>
      <c r="B1046" s="71"/>
      <c r="C1046" s="71"/>
      <c r="D1046" s="71"/>
      <c r="E1046" s="68"/>
      <c r="F1046" s="68"/>
      <c r="G1046" s="71"/>
      <c r="H1046" s="71"/>
      <c r="I1046" s="71"/>
      <c r="J1046" s="71"/>
      <c r="K1046" s="71"/>
      <c r="L1046" s="71"/>
      <c r="M1046" s="71"/>
      <c r="N1046" s="71"/>
      <c r="O1046" s="71"/>
    </row>
    <row r="1047" spans="1:15" x14ac:dyDescent="0.35">
      <c r="A1047" s="71"/>
      <c r="B1047" s="71"/>
      <c r="C1047" s="71"/>
      <c r="D1047" s="71"/>
      <c r="E1047" s="68"/>
      <c r="F1047" s="68"/>
      <c r="G1047" s="71"/>
      <c r="H1047" s="71"/>
      <c r="I1047" s="71"/>
      <c r="J1047" s="71"/>
      <c r="K1047" s="71"/>
      <c r="L1047" s="71"/>
      <c r="M1047" s="71"/>
      <c r="N1047" s="71"/>
      <c r="O1047" s="71"/>
    </row>
    <row r="1048" spans="1:15" x14ac:dyDescent="0.35">
      <c r="A1048" s="71"/>
      <c r="B1048" s="71"/>
      <c r="C1048" s="71"/>
      <c r="D1048" s="71"/>
      <c r="E1048" s="68"/>
      <c r="F1048" s="68"/>
      <c r="G1048" s="71"/>
      <c r="H1048" s="71"/>
      <c r="I1048" s="71"/>
      <c r="J1048" s="71"/>
      <c r="K1048" s="71"/>
      <c r="L1048" s="71"/>
      <c r="M1048" s="71"/>
      <c r="N1048" s="71"/>
      <c r="O1048" s="71"/>
    </row>
    <row r="1049" spans="1:15" x14ac:dyDescent="0.35">
      <c r="A1049" s="71"/>
      <c r="B1049" s="71"/>
      <c r="C1049" s="71"/>
      <c r="D1049" s="71"/>
      <c r="E1049" s="68"/>
      <c r="F1049" s="68"/>
      <c r="G1049" s="71"/>
      <c r="H1049" s="71"/>
      <c r="I1049" s="71"/>
      <c r="J1049" s="71"/>
      <c r="K1049" s="71"/>
      <c r="L1049" s="71"/>
      <c r="M1049" s="71"/>
      <c r="N1049" s="71"/>
      <c r="O1049" s="71"/>
    </row>
    <row r="1050" spans="1:15" x14ac:dyDescent="0.35">
      <c r="A1050" s="71"/>
      <c r="B1050" s="71"/>
      <c r="C1050" s="71"/>
      <c r="D1050" s="71"/>
      <c r="E1050" s="68"/>
      <c r="F1050" s="68"/>
      <c r="G1050" s="71"/>
      <c r="H1050" s="71"/>
      <c r="I1050" s="71"/>
      <c r="J1050" s="71"/>
      <c r="K1050" s="71"/>
      <c r="L1050" s="71"/>
      <c r="M1050" s="71"/>
      <c r="N1050" s="71"/>
      <c r="O1050" s="71"/>
    </row>
    <row r="1051" spans="1:15" x14ac:dyDescent="0.35">
      <c r="A1051" s="71"/>
      <c r="B1051" s="71"/>
      <c r="C1051" s="71"/>
      <c r="D1051" s="71"/>
      <c r="E1051" s="68"/>
      <c r="F1051" s="68"/>
      <c r="G1051" s="71"/>
      <c r="H1051" s="71"/>
      <c r="I1051" s="71"/>
      <c r="J1051" s="71"/>
      <c r="K1051" s="71"/>
      <c r="L1051" s="71"/>
      <c r="M1051" s="71"/>
      <c r="N1051" s="71"/>
      <c r="O1051" s="71"/>
    </row>
    <row r="1052" spans="1:15" x14ac:dyDescent="0.35">
      <c r="A1052" s="71"/>
      <c r="B1052" s="71"/>
      <c r="C1052" s="71"/>
      <c r="D1052" s="71"/>
      <c r="E1052" s="68"/>
      <c r="F1052" s="68"/>
      <c r="G1052" s="71"/>
      <c r="H1052" s="71"/>
      <c r="I1052" s="71"/>
      <c r="J1052" s="71"/>
      <c r="K1052" s="71"/>
      <c r="L1052" s="71"/>
      <c r="M1052" s="71"/>
      <c r="N1052" s="71"/>
      <c r="O1052" s="71"/>
    </row>
    <row r="1053" spans="1:15" x14ac:dyDescent="0.35">
      <c r="A1053" s="71"/>
      <c r="B1053" s="71"/>
      <c r="C1053" s="71"/>
      <c r="D1053" s="71"/>
      <c r="E1053" s="68"/>
      <c r="F1053" s="68"/>
      <c r="G1053" s="71"/>
      <c r="H1053" s="71"/>
      <c r="I1053" s="71"/>
      <c r="J1053" s="71"/>
      <c r="K1053" s="71"/>
      <c r="L1053" s="71"/>
      <c r="M1053" s="71"/>
      <c r="N1053" s="71"/>
      <c r="O1053" s="71"/>
    </row>
    <row r="1054" spans="1:15" x14ac:dyDescent="0.35">
      <c r="A1054" s="71"/>
      <c r="B1054" s="71"/>
      <c r="C1054" s="71"/>
      <c r="D1054" s="71"/>
      <c r="E1054" s="68"/>
      <c r="F1054" s="68"/>
      <c r="G1054" s="71"/>
      <c r="H1054" s="71"/>
      <c r="I1054" s="71"/>
      <c r="J1054" s="71"/>
      <c r="K1054" s="71"/>
      <c r="L1054" s="71"/>
      <c r="M1054" s="71"/>
      <c r="N1054" s="71"/>
      <c r="O1054" s="71"/>
    </row>
    <row r="1055" spans="1:15" x14ac:dyDescent="0.35">
      <c r="A1055" s="71"/>
      <c r="B1055" s="71"/>
      <c r="C1055" s="71"/>
      <c r="D1055" s="71"/>
      <c r="E1055" s="68"/>
      <c r="F1055" s="68"/>
      <c r="G1055" s="71"/>
      <c r="H1055" s="71"/>
      <c r="I1055" s="71"/>
      <c r="J1055" s="71"/>
      <c r="K1055" s="71"/>
      <c r="L1055" s="71"/>
      <c r="M1055" s="71"/>
      <c r="N1055" s="71"/>
      <c r="O1055" s="71"/>
    </row>
    <row r="1056" spans="1:15" x14ac:dyDescent="0.35">
      <c r="A1056" s="71"/>
      <c r="B1056" s="71"/>
      <c r="C1056" s="71"/>
      <c r="D1056" s="71"/>
      <c r="E1056" s="68"/>
      <c r="F1056" s="68"/>
      <c r="G1056" s="71"/>
      <c r="H1056" s="71"/>
      <c r="I1056" s="71"/>
      <c r="J1056" s="71"/>
      <c r="K1056" s="71"/>
      <c r="L1056" s="71"/>
      <c r="M1056" s="71"/>
      <c r="N1056" s="71"/>
      <c r="O1056" s="71"/>
    </row>
    <row r="1057" spans="1:15" x14ac:dyDescent="0.35">
      <c r="A1057" s="71"/>
      <c r="B1057" s="71"/>
      <c r="C1057" s="71"/>
      <c r="D1057" s="71"/>
      <c r="E1057" s="68"/>
      <c r="F1057" s="68"/>
      <c r="G1057" s="71"/>
      <c r="H1057" s="71"/>
      <c r="I1057" s="71"/>
      <c r="J1057" s="71"/>
      <c r="K1057" s="71"/>
      <c r="L1057" s="71"/>
      <c r="M1057" s="71"/>
      <c r="N1057" s="71"/>
      <c r="O1057" s="71"/>
    </row>
    <row r="1058" spans="1:15" x14ac:dyDescent="0.35">
      <c r="A1058" s="71"/>
      <c r="B1058" s="71"/>
      <c r="C1058" s="71"/>
      <c r="D1058" s="71"/>
      <c r="E1058" s="68"/>
      <c r="F1058" s="68"/>
      <c r="G1058" s="71"/>
      <c r="H1058" s="71"/>
      <c r="I1058" s="71"/>
      <c r="J1058" s="71"/>
      <c r="K1058" s="71"/>
      <c r="L1058" s="71"/>
      <c r="M1058" s="71"/>
      <c r="N1058" s="71"/>
      <c r="O1058" s="71"/>
    </row>
    <row r="1059" spans="1:15" x14ac:dyDescent="0.35">
      <c r="A1059" s="71"/>
      <c r="B1059" s="71"/>
      <c r="C1059" s="71"/>
      <c r="D1059" s="71"/>
      <c r="E1059" s="68"/>
      <c r="F1059" s="68"/>
      <c r="G1059" s="71"/>
      <c r="H1059" s="71"/>
      <c r="I1059" s="71"/>
      <c r="J1059" s="71"/>
      <c r="K1059" s="71"/>
      <c r="L1059" s="71"/>
      <c r="M1059" s="71"/>
      <c r="N1059" s="71"/>
      <c r="O1059" s="71"/>
    </row>
    <row r="1060" spans="1:15" x14ac:dyDescent="0.35">
      <c r="A1060" s="71"/>
      <c r="B1060" s="71"/>
      <c r="C1060" s="71"/>
      <c r="D1060" s="71"/>
      <c r="E1060" s="68"/>
      <c r="F1060" s="68"/>
      <c r="G1060" s="71"/>
      <c r="H1060" s="71"/>
      <c r="I1060" s="71"/>
      <c r="J1060" s="71"/>
      <c r="K1060" s="71"/>
      <c r="L1060" s="71"/>
      <c r="M1060" s="71"/>
      <c r="N1060" s="71"/>
      <c r="O1060" s="71"/>
    </row>
    <row r="1061" spans="1:15" x14ac:dyDescent="0.35">
      <c r="A1061" s="71"/>
      <c r="B1061" s="71"/>
      <c r="C1061" s="71"/>
      <c r="D1061" s="71"/>
      <c r="E1061" s="68"/>
      <c r="F1061" s="68"/>
      <c r="G1061" s="71"/>
      <c r="H1061" s="71"/>
      <c r="I1061" s="71"/>
      <c r="J1061" s="71"/>
      <c r="K1061" s="71"/>
      <c r="L1061" s="71"/>
      <c r="M1061" s="71"/>
      <c r="N1061" s="71"/>
      <c r="O1061" s="71"/>
    </row>
    <row r="1062" spans="1:15" x14ac:dyDescent="0.35">
      <c r="A1062" s="71"/>
      <c r="B1062" s="71"/>
      <c r="C1062" s="71"/>
      <c r="D1062" s="71"/>
      <c r="E1062" s="68"/>
      <c r="F1062" s="68"/>
      <c r="G1062" s="71"/>
      <c r="H1062" s="71"/>
      <c r="I1062" s="71"/>
      <c r="J1062" s="71"/>
      <c r="K1062" s="71"/>
      <c r="L1062" s="71"/>
      <c r="M1062" s="71"/>
      <c r="N1062" s="71"/>
      <c r="O1062" s="71"/>
    </row>
    <row r="1063" spans="1:15" x14ac:dyDescent="0.35">
      <c r="A1063" s="71"/>
      <c r="B1063" s="71"/>
      <c r="C1063" s="71"/>
      <c r="D1063" s="71"/>
      <c r="E1063" s="68"/>
      <c r="F1063" s="68"/>
      <c r="G1063" s="71"/>
      <c r="H1063" s="71"/>
      <c r="I1063" s="71"/>
      <c r="J1063" s="71"/>
      <c r="K1063" s="71"/>
      <c r="L1063" s="71"/>
      <c r="M1063" s="71"/>
      <c r="N1063" s="71"/>
      <c r="O1063" s="71"/>
    </row>
    <row r="1064" spans="1:15" x14ac:dyDescent="0.35">
      <c r="A1064" s="71"/>
      <c r="B1064" s="71"/>
      <c r="C1064" s="71"/>
      <c r="D1064" s="71"/>
      <c r="E1064" s="68"/>
      <c r="F1064" s="68"/>
      <c r="G1064" s="71"/>
      <c r="H1064" s="71"/>
      <c r="I1064" s="71"/>
      <c r="J1064" s="71"/>
      <c r="K1064" s="71"/>
      <c r="L1064" s="71"/>
      <c r="M1064" s="71"/>
      <c r="N1064" s="71"/>
      <c r="O1064" s="71"/>
    </row>
    <row r="1065" spans="1:15" x14ac:dyDescent="0.35">
      <c r="A1065" s="71"/>
      <c r="B1065" s="71"/>
      <c r="C1065" s="71"/>
      <c r="D1065" s="71"/>
      <c r="E1065" s="68"/>
      <c r="F1065" s="68"/>
      <c r="G1065" s="71"/>
      <c r="H1065" s="71"/>
      <c r="I1065" s="71"/>
      <c r="J1065" s="71"/>
      <c r="K1065" s="71"/>
      <c r="L1065" s="71"/>
      <c r="M1065" s="71"/>
      <c r="N1065" s="71"/>
      <c r="O1065" s="71"/>
    </row>
    <row r="1066" spans="1:15" x14ac:dyDescent="0.35">
      <c r="A1066" s="71"/>
      <c r="B1066" s="71"/>
      <c r="C1066" s="71"/>
      <c r="D1066" s="71"/>
      <c r="E1066" s="68"/>
      <c r="F1066" s="68"/>
      <c r="G1066" s="71"/>
      <c r="H1066" s="71"/>
      <c r="I1066" s="71"/>
      <c r="J1066" s="71"/>
      <c r="K1066" s="71"/>
      <c r="L1066" s="71"/>
      <c r="M1066" s="71"/>
      <c r="N1066" s="71"/>
      <c r="O1066" s="71"/>
    </row>
    <row r="1067" spans="1:15" x14ac:dyDescent="0.35">
      <c r="A1067" s="71"/>
      <c r="B1067" s="71"/>
      <c r="C1067" s="71"/>
      <c r="D1067" s="71"/>
      <c r="E1067" s="68"/>
      <c r="F1067" s="68"/>
      <c r="G1067" s="71"/>
      <c r="H1067" s="71"/>
      <c r="I1067" s="71"/>
      <c r="J1067" s="71"/>
      <c r="K1067" s="71"/>
      <c r="L1067" s="71"/>
      <c r="M1067" s="71"/>
      <c r="N1067" s="71"/>
      <c r="O1067" s="71"/>
    </row>
    <row r="1068" spans="1:15" x14ac:dyDescent="0.35">
      <c r="A1068" s="71"/>
      <c r="B1068" s="71"/>
      <c r="C1068" s="71"/>
      <c r="D1068" s="71"/>
      <c r="E1068" s="68"/>
      <c r="F1068" s="68"/>
      <c r="G1068" s="71"/>
      <c r="H1068" s="71"/>
      <c r="I1068" s="71"/>
      <c r="J1068" s="71"/>
      <c r="K1068" s="71"/>
      <c r="L1068" s="71"/>
      <c r="M1068" s="71"/>
      <c r="N1068" s="71"/>
      <c r="O1068" s="71"/>
    </row>
    <row r="1069" spans="1:15" x14ac:dyDescent="0.35">
      <c r="A1069" s="71"/>
      <c r="B1069" s="71"/>
      <c r="C1069" s="71"/>
      <c r="D1069" s="71"/>
      <c r="E1069" s="68"/>
      <c r="F1069" s="68"/>
      <c r="G1069" s="71"/>
      <c r="H1069" s="71"/>
      <c r="I1069" s="71"/>
      <c r="J1069" s="71"/>
      <c r="K1069" s="71"/>
      <c r="L1069" s="71"/>
      <c r="M1069" s="71"/>
      <c r="N1069" s="71"/>
      <c r="O1069" s="71"/>
    </row>
    <row r="1070" spans="1:15" x14ac:dyDescent="0.35">
      <c r="A1070" s="71"/>
      <c r="B1070" s="71"/>
      <c r="C1070" s="71"/>
      <c r="D1070" s="71"/>
      <c r="E1070" s="68"/>
      <c r="F1070" s="68"/>
      <c r="G1070" s="71"/>
      <c r="H1070" s="71"/>
      <c r="I1070" s="71"/>
      <c r="J1070" s="71"/>
      <c r="K1070" s="71"/>
      <c r="L1070" s="71"/>
      <c r="M1070" s="71"/>
      <c r="N1070" s="71"/>
      <c r="O1070" s="71"/>
    </row>
    <row r="1071" spans="1:15" x14ac:dyDescent="0.35">
      <c r="A1071" s="71"/>
      <c r="B1071" s="71"/>
      <c r="C1071" s="71"/>
      <c r="D1071" s="71"/>
      <c r="E1071" s="68"/>
      <c r="F1071" s="68"/>
      <c r="G1071" s="71"/>
      <c r="H1071" s="71"/>
      <c r="I1071" s="71"/>
      <c r="J1071" s="71"/>
      <c r="K1071" s="71"/>
      <c r="L1071" s="71"/>
      <c r="M1071" s="71"/>
      <c r="N1071" s="71"/>
      <c r="O1071" s="71"/>
    </row>
    <row r="1072" spans="1:15" x14ac:dyDescent="0.35">
      <c r="A1072" s="71"/>
      <c r="B1072" s="71"/>
      <c r="C1072" s="71"/>
      <c r="D1072" s="71"/>
      <c r="E1072" s="68"/>
      <c r="F1072" s="68"/>
      <c r="G1072" s="71"/>
      <c r="H1072" s="71"/>
      <c r="I1072" s="71"/>
      <c r="J1072" s="71"/>
      <c r="K1072" s="71"/>
      <c r="L1072" s="71"/>
      <c r="M1072" s="71"/>
      <c r="N1072" s="71"/>
      <c r="O1072" s="71"/>
    </row>
    <row r="1073" spans="1:15" x14ac:dyDescent="0.35">
      <c r="A1073" s="71"/>
      <c r="B1073" s="71"/>
      <c r="C1073" s="71"/>
      <c r="D1073" s="71"/>
      <c r="E1073" s="68"/>
      <c r="F1073" s="68"/>
      <c r="G1073" s="71"/>
      <c r="H1073" s="71"/>
      <c r="I1073" s="71"/>
      <c r="J1073" s="71"/>
      <c r="K1073" s="71"/>
      <c r="L1073" s="71"/>
      <c r="M1073" s="71"/>
      <c r="N1073" s="71"/>
      <c r="O1073" s="71"/>
    </row>
    <row r="1074" spans="1:15" x14ac:dyDescent="0.35">
      <c r="A1074" s="71"/>
      <c r="B1074" s="71"/>
      <c r="C1074" s="71"/>
      <c r="D1074" s="71"/>
      <c r="E1074" s="68"/>
      <c r="F1074" s="68"/>
      <c r="G1074" s="71"/>
      <c r="H1074" s="71"/>
      <c r="I1074" s="71"/>
      <c r="J1074" s="71"/>
      <c r="K1074" s="71"/>
      <c r="L1074" s="71"/>
      <c r="M1074" s="71"/>
      <c r="N1074" s="71"/>
      <c r="O1074" s="71"/>
    </row>
    <row r="1075" spans="1:15" x14ac:dyDescent="0.35">
      <c r="A1075" s="71"/>
      <c r="B1075" s="71"/>
      <c r="C1075" s="71"/>
      <c r="D1075" s="71"/>
      <c r="E1075" s="68"/>
      <c r="F1075" s="68"/>
      <c r="G1075" s="71"/>
      <c r="H1075" s="71"/>
      <c r="I1075" s="71"/>
      <c r="J1075" s="71"/>
      <c r="K1075" s="71"/>
      <c r="L1075" s="71"/>
      <c r="M1075" s="71"/>
      <c r="N1075" s="71"/>
      <c r="O1075" s="71"/>
    </row>
    <row r="1076" spans="1:15" x14ac:dyDescent="0.35">
      <c r="A1076" s="71"/>
      <c r="B1076" s="71"/>
      <c r="C1076" s="71"/>
      <c r="D1076" s="71"/>
      <c r="E1076" s="68"/>
      <c r="F1076" s="68"/>
      <c r="G1076" s="71"/>
      <c r="H1076" s="71"/>
      <c r="I1076" s="71"/>
      <c r="J1076" s="71"/>
      <c r="K1076" s="71"/>
      <c r="L1076" s="71"/>
      <c r="M1076" s="71"/>
      <c r="N1076" s="71"/>
      <c r="O1076" s="71"/>
    </row>
    <row r="1077" spans="1:15" x14ac:dyDescent="0.35">
      <c r="A1077" s="71"/>
      <c r="B1077" s="71"/>
      <c r="C1077" s="71"/>
      <c r="D1077" s="71"/>
      <c r="E1077" s="68"/>
      <c r="F1077" s="68"/>
      <c r="G1077" s="71"/>
      <c r="H1077" s="71"/>
      <c r="I1077" s="71"/>
      <c r="J1077" s="71"/>
      <c r="K1077" s="71"/>
      <c r="L1077" s="71"/>
      <c r="M1077" s="71"/>
      <c r="N1077" s="71"/>
      <c r="O1077" s="71"/>
    </row>
    <row r="1078" spans="1:15" x14ac:dyDescent="0.35">
      <c r="A1078" s="71"/>
      <c r="B1078" s="71"/>
      <c r="C1078" s="71"/>
      <c r="D1078" s="71"/>
      <c r="E1078" s="68"/>
      <c r="F1078" s="68"/>
      <c r="G1078" s="71"/>
      <c r="H1078" s="71"/>
      <c r="I1078" s="71"/>
      <c r="J1078" s="71"/>
      <c r="K1078" s="71"/>
      <c r="L1078" s="71"/>
      <c r="M1078" s="71"/>
      <c r="N1078" s="71"/>
      <c r="O1078" s="71"/>
    </row>
    <row r="1079" spans="1:15" x14ac:dyDescent="0.35">
      <c r="A1079" s="71"/>
      <c r="B1079" s="71"/>
      <c r="C1079" s="71"/>
      <c r="D1079" s="71"/>
      <c r="E1079" s="68"/>
      <c r="F1079" s="68"/>
      <c r="G1079" s="71"/>
      <c r="H1079" s="71"/>
      <c r="I1079" s="71"/>
      <c r="J1079" s="71"/>
      <c r="K1079" s="71"/>
      <c r="L1079" s="71"/>
      <c r="M1079" s="71"/>
      <c r="N1079" s="71"/>
      <c r="O1079" s="71"/>
    </row>
    <row r="1080" spans="1:15" x14ac:dyDescent="0.35">
      <c r="A1080" s="71"/>
      <c r="B1080" s="71"/>
      <c r="C1080" s="71"/>
      <c r="D1080" s="71"/>
      <c r="E1080" s="68"/>
      <c r="F1080" s="68"/>
      <c r="G1080" s="71"/>
      <c r="H1080" s="71"/>
      <c r="I1080" s="71"/>
      <c r="J1080" s="71"/>
      <c r="K1080" s="71"/>
      <c r="L1080" s="71"/>
      <c r="M1080" s="71"/>
      <c r="N1080" s="71"/>
      <c r="O1080" s="71"/>
    </row>
    <row r="1081" spans="1:15" x14ac:dyDescent="0.35">
      <c r="A1081" s="71"/>
      <c r="B1081" s="71"/>
      <c r="C1081" s="71"/>
      <c r="D1081" s="71"/>
      <c r="E1081" s="68"/>
      <c r="F1081" s="68"/>
      <c r="G1081" s="71"/>
      <c r="H1081" s="71"/>
      <c r="I1081" s="71"/>
      <c r="J1081" s="71"/>
      <c r="K1081" s="71"/>
      <c r="L1081" s="71"/>
      <c r="M1081" s="71"/>
      <c r="N1081" s="71"/>
      <c r="O1081" s="71"/>
    </row>
    <row r="1082" spans="1:15" x14ac:dyDescent="0.35">
      <c r="A1082" s="71"/>
      <c r="B1082" s="71"/>
      <c r="C1082" s="71"/>
      <c r="D1082" s="71"/>
      <c r="E1082" s="68"/>
      <c r="F1082" s="68"/>
      <c r="G1082" s="71"/>
      <c r="H1082" s="71"/>
      <c r="I1082" s="71"/>
      <c r="J1082" s="71"/>
      <c r="K1082" s="71"/>
      <c r="L1082" s="71"/>
      <c r="M1082" s="71"/>
      <c r="N1082" s="71"/>
      <c r="O1082" s="71"/>
    </row>
    <row r="1083" spans="1:15" x14ac:dyDescent="0.35">
      <c r="A1083" s="71"/>
      <c r="B1083" s="71"/>
      <c r="C1083" s="71"/>
      <c r="D1083" s="71"/>
      <c r="E1083" s="68"/>
      <c r="F1083" s="68"/>
      <c r="G1083" s="71"/>
      <c r="H1083" s="71"/>
      <c r="I1083" s="71"/>
      <c r="J1083" s="71"/>
      <c r="K1083" s="71"/>
      <c r="L1083" s="71"/>
      <c r="M1083" s="71"/>
      <c r="N1083" s="71"/>
      <c r="O1083" s="71"/>
    </row>
    <row r="1084" spans="1:15" x14ac:dyDescent="0.35">
      <c r="A1084" s="71"/>
      <c r="B1084" s="71"/>
      <c r="C1084" s="71"/>
      <c r="D1084" s="71"/>
      <c r="E1084" s="68"/>
      <c r="F1084" s="68"/>
      <c r="G1084" s="71"/>
      <c r="H1084" s="71"/>
      <c r="I1084" s="71"/>
      <c r="J1084" s="71"/>
      <c r="K1084" s="71"/>
      <c r="L1084" s="71"/>
      <c r="M1084" s="71"/>
      <c r="N1084" s="71"/>
      <c r="O1084" s="71"/>
    </row>
    <row r="1085" spans="1:15" x14ac:dyDescent="0.35">
      <c r="A1085" s="71"/>
      <c r="B1085" s="71"/>
      <c r="C1085" s="71"/>
      <c r="D1085" s="71"/>
      <c r="E1085" s="68"/>
      <c r="F1085" s="68"/>
      <c r="G1085" s="71"/>
      <c r="H1085" s="71"/>
      <c r="I1085" s="71"/>
      <c r="J1085" s="71"/>
      <c r="K1085" s="71"/>
      <c r="L1085" s="71"/>
      <c r="M1085" s="71"/>
      <c r="N1085" s="71"/>
      <c r="O1085" s="71"/>
    </row>
    <row r="1086" spans="1:15" x14ac:dyDescent="0.35">
      <c r="A1086" s="71"/>
      <c r="B1086" s="71"/>
      <c r="C1086" s="71"/>
      <c r="D1086" s="71"/>
      <c r="E1086" s="68"/>
      <c r="F1086" s="68"/>
      <c r="G1086" s="71"/>
      <c r="H1086" s="71"/>
      <c r="I1086" s="71"/>
      <c r="J1086" s="71"/>
      <c r="K1086" s="71"/>
      <c r="L1086" s="71"/>
      <c r="M1086" s="71"/>
      <c r="N1086" s="71"/>
      <c r="O1086" s="71"/>
    </row>
    <row r="1087" spans="1:15" x14ac:dyDescent="0.35">
      <c r="A1087" s="71"/>
      <c r="B1087" s="71"/>
      <c r="C1087" s="71"/>
      <c r="D1087" s="71"/>
      <c r="E1087" s="68"/>
      <c r="F1087" s="68"/>
      <c r="G1087" s="71"/>
      <c r="H1087" s="71"/>
      <c r="I1087" s="71"/>
      <c r="J1087" s="71"/>
      <c r="K1087" s="71"/>
      <c r="L1087" s="71"/>
      <c r="M1087" s="71"/>
      <c r="N1087" s="71"/>
      <c r="O1087" s="71"/>
    </row>
    <row r="1088" spans="1:15" x14ac:dyDescent="0.35">
      <c r="A1088" s="71"/>
      <c r="B1088" s="71"/>
      <c r="C1088" s="71"/>
      <c r="D1088" s="71"/>
      <c r="E1088" s="68"/>
      <c r="F1088" s="68"/>
      <c r="G1088" s="71"/>
      <c r="H1088" s="71"/>
      <c r="I1088" s="71"/>
      <c r="J1088" s="71"/>
      <c r="K1088" s="71"/>
      <c r="L1088" s="71"/>
      <c r="M1088" s="71"/>
      <c r="N1088" s="71"/>
      <c r="O1088" s="71"/>
    </row>
    <row r="1089" spans="1:15" x14ac:dyDescent="0.35">
      <c r="A1089" s="71"/>
      <c r="B1089" s="71"/>
      <c r="C1089" s="71"/>
      <c r="D1089" s="71"/>
      <c r="E1089" s="68"/>
      <c r="F1089" s="68"/>
      <c r="G1089" s="71"/>
      <c r="H1089" s="71"/>
      <c r="I1089" s="71"/>
      <c r="J1089" s="71"/>
      <c r="K1089" s="71"/>
      <c r="L1089" s="71"/>
      <c r="M1089" s="71"/>
      <c r="N1089" s="71"/>
      <c r="O1089" s="71"/>
    </row>
    <row r="1090" spans="1:15" x14ac:dyDescent="0.35">
      <c r="A1090" s="71"/>
      <c r="B1090" s="71"/>
      <c r="C1090" s="71"/>
      <c r="D1090" s="71"/>
      <c r="E1090" s="68"/>
      <c r="F1090" s="68"/>
      <c r="G1090" s="71"/>
      <c r="H1090" s="71"/>
      <c r="I1090" s="71"/>
      <c r="J1090" s="71"/>
      <c r="K1090" s="71"/>
      <c r="L1090" s="71"/>
      <c r="M1090" s="71"/>
      <c r="N1090" s="71"/>
      <c r="O1090" s="71"/>
    </row>
    <row r="1091" spans="1:15" x14ac:dyDescent="0.35">
      <c r="A1091" s="71"/>
      <c r="B1091" s="71"/>
      <c r="C1091" s="71"/>
      <c r="D1091" s="71"/>
      <c r="E1091" s="68"/>
      <c r="F1091" s="68"/>
      <c r="G1091" s="71"/>
      <c r="H1091" s="71"/>
      <c r="I1091" s="71"/>
      <c r="J1091" s="71"/>
      <c r="K1091" s="71"/>
      <c r="L1091" s="71"/>
      <c r="M1091" s="71"/>
      <c r="N1091" s="71"/>
      <c r="O1091" s="71"/>
    </row>
    <row r="1092" spans="1:15" x14ac:dyDescent="0.35">
      <c r="A1092" s="71"/>
      <c r="B1092" s="71"/>
      <c r="C1092" s="71"/>
      <c r="D1092" s="71"/>
      <c r="E1092" s="68"/>
      <c r="F1092" s="68"/>
      <c r="G1092" s="71"/>
      <c r="H1092" s="71"/>
      <c r="I1092" s="71"/>
      <c r="J1092" s="71"/>
      <c r="K1092" s="71"/>
      <c r="L1092" s="71"/>
      <c r="M1092" s="71"/>
      <c r="N1092" s="71"/>
      <c r="O1092" s="71"/>
    </row>
    <row r="1093" spans="1:15" x14ac:dyDescent="0.35">
      <c r="A1093" s="71"/>
      <c r="B1093" s="71"/>
      <c r="C1093" s="71"/>
      <c r="D1093" s="71"/>
      <c r="E1093" s="68"/>
      <c r="F1093" s="68"/>
      <c r="G1093" s="71"/>
      <c r="H1093" s="71"/>
      <c r="I1093" s="71"/>
      <c r="J1093" s="71"/>
      <c r="K1093" s="71"/>
      <c r="L1093" s="71"/>
      <c r="M1093" s="71"/>
      <c r="N1093" s="71"/>
      <c r="O1093" s="71"/>
    </row>
    <row r="1094" spans="1:15" x14ac:dyDescent="0.35">
      <c r="A1094" s="71"/>
      <c r="B1094" s="71"/>
      <c r="C1094" s="71"/>
      <c r="D1094" s="71"/>
      <c r="E1094" s="68"/>
      <c r="F1094" s="68"/>
      <c r="G1094" s="71"/>
      <c r="H1094" s="71"/>
      <c r="I1094" s="71"/>
      <c r="J1094" s="71"/>
      <c r="K1094" s="71"/>
      <c r="L1094" s="71"/>
      <c r="M1094" s="71"/>
      <c r="N1094" s="71"/>
      <c r="O1094" s="71"/>
    </row>
    <row r="1095" spans="1:15" x14ac:dyDescent="0.35">
      <c r="A1095" s="71"/>
      <c r="B1095" s="71"/>
      <c r="C1095" s="71"/>
      <c r="D1095" s="71"/>
      <c r="E1095" s="68"/>
      <c r="F1095" s="68"/>
      <c r="G1095" s="71"/>
      <c r="H1095" s="71"/>
      <c r="I1095" s="71"/>
      <c r="J1095" s="71"/>
      <c r="K1095" s="71"/>
      <c r="L1095" s="71"/>
      <c r="M1095" s="71"/>
      <c r="N1095" s="71"/>
      <c r="O1095" s="71"/>
    </row>
    <row r="1096" spans="1:15" x14ac:dyDescent="0.35">
      <c r="A1096" s="71"/>
      <c r="B1096" s="71"/>
      <c r="C1096" s="71"/>
      <c r="D1096" s="71"/>
      <c r="E1096" s="68"/>
      <c r="F1096" s="68"/>
      <c r="G1096" s="71"/>
      <c r="H1096" s="71"/>
      <c r="I1096" s="71"/>
      <c r="J1096" s="71"/>
      <c r="K1096" s="71"/>
      <c r="L1096" s="71"/>
      <c r="M1096" s="71"/>
      <c r="N1096" s="71"/>
      <c r="O1096" s="71"/>
    </row>
    <row r="1097" spans="1:15" x14ac:dyDescent="0.35">
      <c r="A1097" s="71"/>
      <c r="B1097" s="71"/>
      <c r="C1097" s="71"/>
      <c r="D1097" s="71"/>
      <c r="E1097" s="68"/>
      <c r="F1097" s="68"/>
      <c r="G1097" s="71"/>
      <c r="H1097" s="71"/>
      <c r="I1097" s="71"/>
      <c r="J1097" s="71"/>
      <c r="K1097" s="71"/>
      <c r="L1097" s="71"/>
      <c r="M1097" s="71"/>
      <c r="N1097" s="71"/>
      <c r="O1097" s="71"/>
    </row>
    <row r="1098" spans="1:15" x14ac:dyDescent="0.35">
      <c r="A1098" s="71"/>
      <c r="B1098" s="71"/>
      <c r="C1098" s="71"/>
      <c r="D1098" s="71"/>
      <c r="E1098" s="68"/>
      <c r="F1098" s="68"/>
      <c r="G1098" s="71"/>
      <c r="H1098" s="71"/>
      <c r="I1098" s="71"/>
      <c r="J1098" s="71"/>
      <c r="K1098" s="71"/>
      <c r="L1098" s="71"/>
      <c r="M1098" s="71"/>
      <c r="N1098" s="71"/>
      <c r="O1098" s="71"/>
    </row>
    <row r="1099" spans="1:15" x14ac:dyDescent="0.35">
      <c r="A1099" s="71"/>
      <c r="B1099" s="71"/>
      <c r="C1099" s="71"/>
      <c r="D1099" s="71"/>
      <c r="E1099" s="68"/>
      <c r="F1099" s="68"/>
      <c r="G1099" s="71"/>
      <c r="H1099" s="71"/>
      <c r="I1099" s="71"/>
      <c r="J1099" s="71"/>
      <c r="K1099" s="71"/>
      <c r="L1099" s="71"/>
      <c r="M1099" s="71"/>
      <c r="N1099" s="71"/>
      <c r="O1099" s="71"/>
    </row>
    <row r="1100" spans="1:15" x14ac:dyDescent="0.35">
      <c r="A1100" s="71"/>
      <c r="B1100" s="71"/>
      <c r="C1100" s="71"/>
      <c r="D1100" s="71"/>
      <c r="E1100" s="68"/>
      <c r="F1100" s="68"/>
      <c r="G1100" s="71"/>
      <c r="H1100" s="71"/>
      <c r="I1100" s="71"/>
      <c r="J1100" s="71"/>
      <c r="K1100" s="71"/>
      <c r="L1100" s="71"/>
      <c r="M1100" s="71"/>
      <c r="N1100" s="71"/>
      <c r="O1100" s="71"/>
    </row>
    <row r="1101" spans="1:15" x14ac:dyDescent="0.35">
      <c r="A1101" s="71"/>
      <c r="B1101" s="71"/>
      <c r="C1101" s="71"/>
      <c r="D1101" s="71"/>
      <c r="E1101" s="68"/>
      <c r="F1101" s="68"/>
      <c r="G1101" s="71"/>
      <c r="H1101" s="71"/>
      <c r="I1101" s="71"/>
      <c r="J1101" s="71"/>
      <c r="K1101" s="71"/>
      <c r="L1101" s="71"/>
      <c r="M1101" s="71"/>
      <c r="N1101" s="71"/>
      <c r="O1101" s="71"/>
    </row>
    <row r="1102" spans="1:15" x14ac:dyDescent="0.35">
      <c r="A1102" s="71"/>
      <c r="B1102" s="71"/>
      <c r="C1102" s="71"/>
      <c r="D1102" s="71"/>
      <c r="E1102" s="68"/>
      <c r="F1102" s="68"/>
      <c r="G1102" s="71"/>
      <c r="H1102" s="71"/>
      <c r="I1102" s="71"/>
      <c r="J1102" s="71"/>
      <c r="K1102" s="71"/>
      <c r="L1102" s="71"/>
      <c r="M1102" s="71"/>
      <c r="N1102" s="71"/>
      <c r="O1102" s="71"/>
    </row>
    <row r="1103" spans="1:15" x14ac:dyDescent="0.35">
      <c r="A1103" s="71"/>
      <c r="B1103" s="71"/>
      <c r="C1103" s="71"/>
      <c r="D1103" s="71"/>
      <c r="E1103" s="68"/>
      <c r="F1103" s="68"/>
      <c r="G1103" s="71"/>
      <c r="H1103" s="71"/>
      <c r="I1103" s="71"/>
      <c r="J1103" s="71"/>
      <c r="K1103" s="71"/>
      <c r="L1103" s="71"/>
      <c r="M1103" s="71"/>
      <c r="N1103" s="71"/>
      <c r="O1103" s="71"/>
    </row>
    <row r="1104" spans="1:15" x14ac:dyDescent="0.35">
      <c r="A1104" s="71"/>
      <c r="B1104" s="71"/>
      <c r="C1104" s="71"/>
      <c r="D1104" s="71"/>
      <c r="E1104" s="68"/>
      <c r="F1104" s="68"/>
      <c r="G1104" s="71"/>
      <c r="H1104" s="71"/>
      <c r="I1104" s="71"/>
      <c r="J1104" s="71"/>
      <c r="K1104" s="71"/>
      <c r="L1104" s="71"/>
      <c r="M1104" s="71"/>
      <c r="N1104" s="71"/>
      <c r="O1104" s="71"/>
    </row>
    <row r="1105" spans="1:15" x14ac:dyDescent="0.35">
      <c r="A1105" s="71"/>
      <c r="B1105" s="71"/>
      <c r="C1105" s="71"/>
      <c r="D1105" s="71"/>
      <c r="E1105" s="68"/>
      <c r="F1105" s="68"/>
      <c r="G1105" s="71"/>
      <c r="H1105" s="71"/>
      <c r="I1105" s="71"/>
      <c r="J1105" s="71"/>
      <c r="K1105" s="71"/>
      <c r="L1105" s="71"/>
      <c r="M1105" s="71"/>
      <c r="N1105" s="71"/>
      <c r="O1105" s="71"/>
    </row>
    <row r="1106" spans="1:15" x14ac:dyDescent="0.35">
      <c r="A1106" s="71"/>
      <c r="B1106" s="71"/>
      <c r="C1106" s="71"/>
      <c r="D1106" s="71"/>
      <c r="E1106" s="68"/>
      <c r="F1106" s="68"/>
      <c r="G1106" s="71"/>
      <c r="H1106" s="71"/>
      <c r="I1106" s="71"/>
      <c r="J1106" s="71"/>
      <c r="K1106" s="71"/>
      <c r="L1106" s="71"/>
      <c r="M1106" s="71"/>
      <c r="N1106" s="71"/>
      <c r="O1106" s="71"/>
    </row>
    <row r="1107" spans="1:15" x14ac:dyDescent="0.35">
      <c r="A1107" s="71"/>
      <c r="B1107" s="71"/>
      <c r="C1107" s="71"/>
      <c r="D1107" s="71"/>
      <c r="E1107" s="68"/>
      <c r="F1107" s="68"/>
      <c r="G1107" s="71"/>
      <c r="H1107" s="71"/>
      <c r="I1107" s="71"/>
      <c r="J1107" s="71"/>
      <c r="K1107" s="71"/>
      <c r="L1107" s="71"/>
      <c r="M1107" s="71"/>
      <c r="N1107" s="71"/>
      <c r="O1107" s="71"/>
    </row>
    <row r="1108" spans="1:15" x14ac:dyDescent="0.35">
      <c r="A1108" s="71"/>
      <c r="B1108" s="71"/>
      <c r="C1108" s="71"/>
      <c r="D1108" s="71"/>
      <c r="E1108" s="68"/>
      <c r="F1108" s="68"/>
      <c r="G1108" s="71"/>
      <c r="H1108" s="71"/>
      <c r="I1108" s="71"/>
      <c r="J1108" s="71"/>
      <c r="K1108" s="71"/>
      <c r="L1108" s="71"/>
      <c r="M1108" s="71"/>
      <c r="N1108" s="71"/>
      <c r="O1108" s="71"/>
    </row>
    <row r="1109" spans="1:15" x14ac:dyDescent="0.35">
      <c r="A1109" s="71"/>
      <c r="B1109" s="71"/>
      <c r="C1109" s="71"/>
      <c r="D1109" s="71"/>
      <c r="E1109" s="68"/>
      <c r="F1109" s="68"/>
      <c r="G1109" s="71"/>
      <c r="H1109" s="71"/>
      <c r="I1109" s="71"/>
      <c r="J1109" s="71"/>
      <c r="K1109" s="71"/>
      <c r="L1109" s="71"/>
      <c r="M1109" s="71"/>
      <c r="N1109" s="71"/>
      <c r="O1109" s="71"/>
    </row>
    <row r="1110" spans="1:15" x14ac:dyDescent="0.35">
      <c r="A1110" s="71"/>
      <c r="B1110" s="71"/>
      <c r="C1110" s="71"/>
      <c r="D1110" s="71"/>
      <c r="E1110" s="68"/>
      <c r="F1110" s="68"/>
      <c r="G1110" s="71"/>
      <c r="H1110" s="71"/>
      <c r="I1110" s="71"/>
      <c r="J1110" s="71"/>
      <c r="K1110" s="71"/>
      <c r="L1110" s="71"/>
      <c r="M1110" s="71"/>
      <c r="N1110" s="71"/>
      <c r="O1110" s="71"/>
    </row>
    <row r="1111" spans="1:15" x14ac:dyDescent="0.35">
      <c r="A1111" s="71"/>
      <c r="B1111" s="71"/>
      <c r="C1111" s="71"/>
      <c r="D1111" s="71"/>
      <c r="E1111" s="68"/>
      <c r="F1111" s="68"/>
      <c r="G1111" s="71"/>
      <c r="H1111" s="71"/>
      <c r="I1111" s="71"/>
      <c r="J1111" s="71"/>
      <c r="K1111" s="71"/>
      <c r="L1111" s="71"/>
      <c r="M1111" s="71"/>
      <c r="N1111" s="71"/>
      <c r="O1111" s="71"/>
    </row>
    <row r="1112" spans="1:15" x14ac:dyDescent="0.35">
      <c r="A1112" s="71"/>
      <c r="B1112" s="71"/>
      <c r="C1112" s="71"/>
      <c r="D1112" s="71"/>
      <c r="E1112" s="68"/>
      <c r="F1112" s="68"/>
      <c r="G1112" s="71"/>
      <c r="H1112" s="71"/>
      <c r="I1112" s="71"/>
      <c r="J1112" s="71"/>
      <c r="K1112" s="71"/>
      <c r="L1112" s="71"/>
      <c r="M1112" s="71"/>
      <c r="N1112" s="71"/>
      <c r="O1112" s="71"/>
    </row>
    <row r="1113" spans="1:15" x14ac:dyDescent="0.35">
      <c r="A1113" s="71"/>
      <c r="B1113" s="71"/>
      <c r="C1113" s="71"/>
      <c r="D1113" s="71"/>
      <c r="E1113" s="68"/>
      <c r="F1113" s="68"/>
      <c r="G1113" s="71"/>
      <c r="H1113" s="71"/>
      <c r="I1113" s="71"/>
      <c r="J1113" s="71"/>
      <c r="K1113" s="71"/>
      <c r="L1113" s="71"/>
      <c r="M1113" s="71"/>
      <c r="N1113" s="71"/>
      <c r="O1113" s="71"/>
    </row>
    <row r="1114" spans="1:15" x14ac:dyDescent="0.35">
      <c r="A1114" s="71"/>
      <c r="B1114" s="71"/>
      <c r="C1114" s="71"/>
      <c r="D1114" s="71"/>
      <c r="E1114" s="68"/>
      <c r="F1114" s="68"/>
      <c r="G1114" s="71"/>
      <c r="H1114" s="71"/>
      <c r="I1114" s="71"/>
      <c r="J1114" s="71"/>
      <c r="K1114" s="71"/>
      <c r="L1114" s="71"/>
      <c r="M1114" s="71"/>
      <c r="N1114" s="71"/>
      <c r="O1114" s="71"/>
    </row>
    <row r="1115" spans="1:15" x14ac:dyDescent="0.35">
      <c r="A1115" s="71"/>
      <c r="B1115" s="71"/>
      <c r="C1115" s="71"/>
      <c r="D1115" s="71"/>
      <c r="E1115" s="68"/>
      <c r="F1115" s="68"/>
      <c r="G1115" s="71"/>
      <c r="H1115" s="71"/>
      <c r="I1115" s="71"/>
      <c r="J1115" s="71"/>
      <c r="K1115" s="71"/>
      <c r="L1115" s="71"/>
      <c r="M1115" s="71"/>
      <c r="N1115" s="71"/>
      <c r="O1115" s="71"/>
    </row>
    <row r="1116" spans="1:15" x14ac:dyDescent="0.35">
      <c r="A1116" s="71"/>
      <c r="B1116" s="71"/>
      <c r="C1116" s="71"/>
      <c r="D1116" s="71"/>
      <c r="E1116" s="68"/>
      <c r="F1116" s="68"/>
      <c r="G1116" s="71"/>
      <c r="H1116" s="71"/>
      <c r="I1116" s="71"/>
      <c r="J1116" s="71"/>
      <c r="K1116" s="71"/>
      <c r="L1116" s="71"/>
      <c r="M1116" s="71"/>
      <c r="N1116" s="71"/>
      <c r="O1116" s="71"/>
    </row>
    <row r="1117" spans="1:15" x14ac:dyDescent="0.35">
      <c r="A1117" s="71"/>
      <c r="B1117" s="71"/>
      <c r="C1117" s="71"/>
      <c r="D1117" s="71"/>
      <c r="E1117" s="68"/>
      <c r="F1117" s="68"/>
      <c r="G1117" s="71"/>
      <c r="H1117" s="71"/>
      <c r="I1117" s="71"/>
      <c r="J1117" s="71"/>
      <c r="K1117" s="71"/>
      <c r="L1117" s="71"/>
      <c r="M1117" s="71"/>
      <c r="N1117" s="71"/>
      <c r="O1117" s="71"/>
    </row>
    <row r="1118" spans="1:15" x14ac:dyDescent="0.35">
      <c r="A1118" s="71"/>
      <c r="B1118" s="71"/>
      <c r="C1118" s="71"/>
      <c r="D1118" s="71"/>
      <c r="E1118" s="68"/>
      <c r="F1118" s="68"/>
      <c r="G1118" s="71"/>
      <c r="H1118" s="71"/>
      <c r="I1118" s="71"/>
      <c r="J1118" s="71"/>
      <c r="K1118" s="71"/>
      <c r="L1118" s="71"/>
      <c r="M1118" s="71"/>
      <c r="N1118" s="71"/>
      <c r="O1118" s="71"/>
    </row>
    <row r="1119" spans="1:15" x14ac:dyDescent="0.35">
      <c r="A1119" s="71"/>
      <c r="B1119" s="71"/>
      <c r="C1119" s="71"/>
      <c r="D1119" s="71"/>
      <c r="E1119" s="68"/>
      <c r="F1119" s="68"/>
      <c r="G1119" s="71"/>
      <c r="H1119" s="71"/>
      <c r="I1119" s="71"/>
      <c r="J1119" s="71"/>
      <c r="K1119" s="71"/>
      <c r="L1119" s="71"/>
      <c r="M1119" s="71"/>
      <c r="N1119" s="71"/>
      <c r="O1119" s="71"/>
    </row>
    <row r="1120" spans="1:15" x14ac:dyDescent="0.35">
      <c r="A1120" s="71"/>
      <c r="B1120" s="71"/>
      <c r="C1120" s="71"/>
      <c r="D1120" s="71"/>
      <c r="E1120" s="68"/>
      <c r="F1120" s="68"/>
      <c r="G1120" s="71"/>
      <c r="H1120" s="71"/>
      <c r="I1120" s="71"/>
      <c r="J1120" s="71"/>
      <c r="K1120" s="71"/>
      <c r="L1120" s="71"/>
      <c r="M1120" s="71"/>
      <c r="N1120" s="71"/>
      <c r="O1120" s="71"/>
    </row>
    <row r="1121" spans="1:15" x14ac:dyDescent="0.35">
      <c r="A1121" s="71"/>
      <c r="B1121" s="71"/>
      <c r="C1121" s="71"/>
      <c r="D1121" s="71"/>
      <c r="E1121" s="68"/>
      <c r="F1121" s="68"/>
      <c r="G1121" s="71"/>
      <c r="H1121" s="71"/>
      <c r="I1121" s="71"/>
      <c r="J1121" s="71"/>
      <c r="K1121" s="71"/>
      <c r="L1121" s="71"/>
      <c r="M1121" s="71"/>
      <c r="N1121" s="71"/>
      <c r="O1121" s="71"/>
    </row>
    <row r="1122" spans="1:15" x14ac:dyDescent="0.35">
      <c r="A1122" s="71"/>
      <c r="B1122" s="71"/>
      <c r="C1122" s="71"/>
      <c r="D1122" s="71"/>
      <c r="E1122" s="68"/>
      <c r="F1122" s="68"/>
      <c r="G1122" s="71"/>
      <c r="H1122" s="71"/>
      <c r="I1122" s="71"/>
      <c r="J1122" s="71"/>
      <c r="K1122" s="71"/>
      <c r="L1122" s="71"/>
      <c r="M1122" s="71"/>
      <c r="N1122" s="71"/>
      <c r="O1122" s="71"/>
    </row>
    <row r="1123" spans="1:15" x14ac:dyDescent="0.35">
      <c r="A1123" s="71"/>
      <c r="B1123" s="71"/>
      <c r="C1123" s="71"/>
      <c r="D1123" s="71"/>
      <c r="E1123" s="68"/>
      <c r="F1123" s="68"/>
      <c r="G1123" s="71"/>
      <c r="H1123" s="71"/>
      <c r="I1123" s="71"/>
      <c r="J1123" s="71"/>
      <c r="K1123" s="71"/>
      <c r="L1123" s="71"/>
      <c r="M1123" s="71"/>
      <c r="N1123" s="71"/>
      <c r="O1123" s="71"/>
    </row>
    <row r="1124" spans="1:15" x14ac:dyDescent="0.35">
      <c r="A1124" s="71"/>
      <c r="B1124" s="71"/>
      <c r="C1124" s="71"/>
      <c r="D1124" s="71"/>
      <c r="E1124" s="68"/>
      <c r="F1124" s="68"/>
      <c r="G1124" s="71"/>
      <c r="H1124" s="71"/>
      <c r="I1124" s="71"/>
      <c r="J1124" s="71"/>
      <c r="K1124" s="71"/>
      <c r="L1124" s="71"/>
      <c r="M1124" s="71"/>
      <c r="N1124" s="71"/>
      <c r="O1124" s="71"/>
    </row>
    <row r="1125" spans="1:15" x14ac:dyDescent="0.35">
      <c r="A1125" s="71"/>
      <c r="B1125" s="71"/>
      <c r="C1125" s="71"/>
      <c r="D1125" s="71"/>
      <c r="E1125" s="68"/>
      <c r="F1125" s="68"/>
      <c r="G1125" s="71"/>
      <c r="H1125" s="71"/>
      <c r="I1125" s="71"/>
      <c r="J1125" s="71"/>
      <c r="K1125" s="71"/>
      <c r="L1125" s="71"/>
      <c r="M1125" s="71"/>
      <c r="N1125" s="71"/>
      <c r="O1125" s="71"/>
    </row>
    <row r="1126" spans="1:15" x14ac:dyDescent="0.35">
      <c r="A1126" s="71"/>
      <c r="B1126" s="71"/>
      <c r="C1126" s="71"/>
      <c r="D1126" s="71"/>
      <c r="E1126" s="68"/>
      <c r="F1126" s="68"/>
      <c r="G1126" s="71"/>
      <c r="H1126" s="71"/>
      <c r="I1126" s="71"/>
      <c r="J1126" s="71"/>
      <c r="K1126" s="71"/>
      <c r="L1126" s="71"/>
      <c r="M1126" s="71"/>
      <c r="N1126" s="71"/>
      <c r="O1126" s="71"/>
    </row>
    <row r="1127" spans="1:15" x14ac:dyDescent="0.35">
      <c r="A1127" s="71"/>
      <c r="B1127" s="71"/>
      <c r="C1127" s="71"/>
      <c r="D1127" s="71"/>
      <c r="E1127" s="68"/>
      <c r="F1127" s="68"/>
      <c r="G1127" s="71"/>
      <c r="H1127" s="71"/>
      <c r="I1127" s="71"/>
      <c r="J1127" s="71"/>
      <c r="K1127" s="71"/>
      <c r="L1127" s="71"/>
      <c r="M1127" s="71"/>
      <c r="N1127" s="71"/>
      <c r="O1127" s="71"/>
    </row>
    <row r="1128" spans="1:15" x14ac:dyDescent="0.35">
      <c r="A1128" s="71"/>
      <c r="B1128" s="71"/>
      <c r="C1128" s="71"/>
      <c r="D1128" s="71"/>
      <c r="E1128" s="68"/>
      <c r="F1128" s="68"/>
      <c r="G1128" s="71"/>
      <c r="H1128" s="71"/>
      <c r="I1128" s="71"/>
      <c r="J1128" s="71"/>
      <c r="K1128" s="71"/>
      <c r="L1128" s="71"/>
      <c r="M1128" s="71"/>
      <c r="N1128" s="71"/>
      <c r="O1128" s="71"/>
    </row>
    <row r="1129" spans="1:15" x14ac:dyDescent="0.35">
      <c r="A1129" s="71"/>
      <c r="B1129" s="71"/>
      <c r="C1129" s="71"/>
      <c r="D1129" s="71"/>
      <c r="E1129" s="68"/>
      <c r="F1129" s="68"/>
      <c r="G1129" s="71"/>
      <c r="H1129" s="71"/>
      <c r="I1129" s="71"/>
      <c r="J1129" s="71"/>
      <c r="K1129" s="71"/>
      <c r="L1129" s="71"/>
      <c r="M1129" s="71"/>
      <c r="N1129" s="71"/>
      <c r="O1129" s="71"/>
    </row>
    <row r="1130" spans="1:15" x14ac:dyDescent="0.35">
      <c r="A1130" s="71"/>
      <c r="B1130" s="71"/>
      <c r="C1130" s="71"/>
      <c r="D1130" s="71"/>
      <c r="E1130" s="68"/>
      <c r="F1130" s="68"/>
      <c r="G1130" s="71"/>
      <c r="H1130" s="71"/>
      <c r="I1130" s="71"/>
      <c r="J1130" s="71"/>
      <c r="K1130" s="71"/>
      <c r="L1130" s="71"/>
      <c r="M1130" s="71"/>
      <c r="N1130" s="71"/>
      <c r="O1130" s="71"/>
    </row>
    <row r="1131" spans="1:15" x14ac:dyDescent="0.35">
      <c r="A1131" s="71"/>
      <c r="B1131" s="71"/>
      <c r="C1131" s="71"/>
      <c r="D1131" s="71"/>
      <c r="E1131" s="68"/>
      <c r="F1131" s="68"/>
      <c r="G1131" s="71"/>
      <c r="H1131" s="71"/>
      <c r="I1131" s="71"/>
      <c r="J1131" s="71"/>
      <c r="K1131" s="71"/>
      <c r="L1131" s="71"/>
      <c r="M1131" s="71"/>
      <c r="N1131" s="71"/>
      <c r="O1131" s="71"/>
    </row>
    <row r="1132" spans="1:15" x14ac:dyDescent="0.35">
      <c r="A1132" s="71"/>
      <c r="B1132" s="71"/>
      <c r="C1132" s="71"/>
      <c r="D1132" s="71"/>
      <c r="E1132" s="68"/>
      <c r="F1132" s="68"/>
      <c r="G1132" s="71"/>
      <c r="H1132" s="71"/>
      <c r="I1132" s="71"/>
      <c r="J1132" s="71"/>
      <c r="K1132" s="71"/>
      <c r="L1132" s="71"/>
      <c r="M1132" s="71"/>
      <c r="N1132" s="71"/>
      <c r="O1132" s="71"/>
    </row>
    <row r="1133" spans="1:15" x14ac:dyDescent="0.35">
      <c r="A1133" s="71"/>
      <c r="B1133" s="71"/>
      <c r="C1133" s="71"/>
      <c r="D1133" s="71"/>
      <c r="E1133" s="68"/>
      <c r="F1133" s="68"/>
      <c r="G1133" s="71"/>
      <c r="H1133" s="71"/>
      <c r="I1133" s="71"/>
      <c r="J1133" s="71"/>
      <c r="K1133" s="71"/>
      <c r="L1133" s="71"/>
      <c r="M1133" s="71"/>
      <c r="N1133" s="71"/>
      <c r="O1133" s="71"/>
    </row>
    <row r="1134" spans="1:15" x14ac:dyDescent="0.35">
      <c r="A1134" s="71"/>
      <c r="B1134" s="71"/>
      <c r="C1134" s="71"/>
      <c r="D1134" s="71"/>
      <c r="E1134" s="68"/>
      <c r="F1134" s="68"/>
      <c r="G1134" s="71"/>
      <c r="H1134" s="71"/>
      <c r="I1134" s="71"/>
      <c r="J1134" s="71"/>
      <c r="K1134" s="71"/>
      <c r="L1134" s="71"/>
      <c r="M1134" s="71"/>
      <c r="N1134" s="71"/>
      <c r="O1134" s="71"/>
    </row>
    <row r="1135" spans="1:15" x14ac:dyDescent="0.35">
      <c r="A1135" s="71"/>
      <c r="B1135" s="71"/>
      <c r="C1135" s="71"/>
      <c r="D1135" s="71"/>
      <c r="E1135" s="68"/>
      <c r="F1135" s="68"/>
      <c r="G1135" s="71"/>
      <c r="H1135" s="71"/>
      <c r="I1135" s="71"/>
      <c r="J1135" s="71"/>
      <c r="K1135" s="71"/>
      <c r="L1135" s="71"/>
      <c r="M1135" s="71"/>
      <c r="N1135" s="71"/>
      <c r="O1135" s="71"/>
    </row>
    <row r="1136" spans="1:15" x14ac:dyDescent="0.35">
      <c r="A1136" s="71"/>
      <c r="B1136" s="71"/>
      <c r="C1136" s="71"/>
      <c r="D1136" s="71"/>
      <c r="E1136" s="68"/>
      <c r="F1136" s="68"/>
      <c r="G1136" s="71"/>
      <c r="H1136" s="71"/>
      <c r="I1136" s="71"/>
      <c r="J1136" s="71"/>
      <c r="K1136" s="71"/>
      <c r="L1136" s="71"/>
      <c r="M1136" s="71"/>
      <c r="N1136" s="71"/>
      <c r="O1136" s="71"/>
    </row>
    <row r="1137" spans="1:15" x14ac:dyDescent="0.35">
      <c r="A1137" s="71"/>
      <c r="B1137" s="71"/>
      <c r="C1137" s="71"/>
      <c r="D1137" s="71"/>
      <c r="E1137" s="68"/>
      <c r="F1137" s="68"/>
      <c r="G1137" s="71"/>
      <c r="H1137" s="71"/>
      <c r="I1137" s="71"/>
      <c r="J1137" s="71"/>
      <c r="K1137" s="71"/>
      <c r="L1137" s="71"/>
      <c r="M1137" s="71"/>
      <c r="N1137" s="71"/>
      <c r="O1137" s="71"/>
    </row>
    <row r="1138" spans="1:15" x14ac:dyDescent="0.35">
      <c r="A1138" s="71"/>
      <c r="B1138" s="71"/>
      <c r="C1138" s="71"/>
      <c r="D1138" s="71"/>
      <c r="E1138" s="68"/>
      <c r="F1138" s="68"/>
      <c r="G1138" s="71"/>
      <c r="H1138" s="71"/>
      <c r="I1138" s="71"/>
      <c r="J1138" s="71"/>
      <c r="K1138" s="71"/>
      <c r="L1138" s="71"/>
      <c r="M1138" s="71"/>
      <c r="N1138" s="71"/>
      <c r="O1138" s="71"/>
    </row>
    <row r="1139" spans="1:15" x14ac:dyDescent="0.35">
      <c r="A1139" s="71"/>
      <c r="B1139" s="71"/>
      <c r="C1139" s="71"/>
      <c r="D1139" s="71"/>
      <c r="E1139" s="68"/>
      <c r="F1139" s="68"/>
      <c r="G1139" s="71"/>
      <c r="H1139" s="71"/>
      <c r="I1139" s="71"/>
      <c r="J1139" s="71"/>
      <c r="K1139" s="71"/>
      <c r="L1139" s="71"/>
      <c r="M1139" s="71"/>
      <c r="N1139" s="71"/>
      <c r="O1139" s="71"/>
    </row>
    <row r="1140" spans="1:15" x14ac:dyDescent="0.35">
      <c r="A1140" s="71"/>
      <c r="B1140" s="71"/>
      <c r="C1140" s="71"/>
      <c r="D1140" s="71"/>
      <c r="E1140" s="68"/>
      <c r="F1140" s="68"/>
      <c r="G1140" s="71"/>
      <c r="H1140" s="71"/>
      <c r="I1140" s="71"/>
      <c r="J1140" s="71"/>
      <c r="K1140" s="71"/>
      <c r="L1140" s="71"/>
      <c r="M1140" s="71"/>
      <c r="N1140" s="71"/>
      <c r="O1140" s="71"/>
    </row>
    <row r="1141" spans="1:15" x14ac:dyDescent="0.35">
      <c r="A1141" s="71"/>
      <c r="B1141" s="71"/>
      <c r="C1141" s="71"/>
      <c r="D1141" s="71"/>
      <c r="E1141" s="68"/>
      <c r="F1141" s="68"/>
      <c r="G1141" s="71"/>
      <c r="H1141" s="71"/>
      <c r="I1141" s="71"/>
      <c r="J1141" s="71"/>
      <c r="K1141" s="71"/>
      <c r="L1141" s="71"/>
      <c r="M1141" s="71"/>
      <c r="N1141" s="71"/>
      <c r="O1141" s="71"/>
    </row>
    <row r="1142" spans="1:15" x14ac:dyDescent="0.35">
      <c r="A1142" s="71"/>
      <c r="B1142" s="71"/>
      <c r="C1142" s="71"/>
      <c r="D1142" s="71"/>
      <c r="E1142" s="68"/>
      <c r="F1142" s="68"/>
      <c r="G1142" s="71"/>
      <c r="H1142" s="71"/>
      <c r="I1142" s="71"/>
      <c r="J1142" s="71"/>
      <c r="K1142" s="71"/>
      <c r="L1142" s="71"/>
      <c r="M1142" s="71"/>
      <c r="N1142" s="71"/>
      <c r="O1142" s="71"/>
    </row>
    <row r="1143" spans="1:15" x14ac:dyDescent="0.35">
      <c r="A1143" s="71"/>
      <c r="B1143" s="71"/>
      <c r="C1143" s="71"/>
      <c r="D1143" s="71"/>
      <c r="E1143" s="68"/>
      <c r="F1143" s="68"/>
      <c r="G1143" s="71"/>
      <c r="H1143" s="71"/>
      <c r="I1143" s="71"/>
      <c r="J1143" s="71"/>
      <c r="K1143" s="71"/>
      <c r="L1143" s="71"/>
      <c r="M1143" s="71"/>
      <c r="N1143" s="71"/>
      <c r="O1143" s="71"/>
    </row>
    <row r="1144" spans="1:15" x14ac:dyDescent="0.35">
      <c r="A1144" s="71"/>
      <c r="B1144" s="71"/>
      <c r="C1144" s="71"/>
      <c r="D1144" s="71"/>
      <c r="E1144" s="68"/>
      <c r="F1144" s="68"/>
      <c r="G1144" s="71"/>
      <c r="H1144" s="71"/>
      <c r="I1144" s="71"/>
      <c r="J1144" s="71"/>
      <c r="K1144" s="71"/>
      <c r="L1144" s="71"/>
      <c r="M1144" s="71"/>
      <c r="N1144" s="71"/>
      <c r="O1144" s="71"/>
    </row>
    <row r="1145" spans="1:15" x14ac:dyDescent="0.35">
      <c r="A1145" s="71"/>
      <c r="B1145" s="71"/>
      <c r="C1145" s="71"/>
      <c r="D1145" s="71"/>
      <c r="E1145" s="68"/>
      <c r="F1145" s="68"/>
      <c r="G1145" s="71"/>
      <c r="H1145" s="71"/>
      <c r="I1145" s="71"/>
      <c r="J1145" s="71"/>
      <c r="K1145" s="71"/>
      <c r="L1145" s="71"/>
      <c r="M1145" s="71"/>
      <c r="N1145" s="71"/>
      <c r="O1145" s="71"/>
    </row>
    <row r="1146" spans="1:15" x14ac:dyDescent="0.35">
      <c r="A1146" s="71"/>
      <c r="B1146" s="71"/>
      <c r="C1146" s="71"/>
      <c r="D1146" s="71"/>
      <c r="E1146" s="68"/>
      <c r="F1146" s="68"/>
      <c r="G1146" s="71"/>
      <c r="H1146" s="71"/>
      <c r="I1146" s="71"/>
      <c r="J1146" s="71"/>
      <c r="K1146" s="71"/>
      <c r="L1146" s="71"/>
      <c r="M1146" s="71"/>
      <c r="N1146" s="71"/>
      <c r="O1146" s="71"/>
    </row>
    <row r="1147" spans="1:15" x14ac:dyDescent="0.35">
      <c r="A1147" s="71"/>
      <c r="B1147" s="71"/>
      <c r="C1147" s="71"/>
      <c r="D1147" s="71"/>
      <c r="E1147" s="68"/>
      <c r="F1147" s="68"/>
      <c r="G1147" s="71"/>
      <c r="H1147" s="71"/>
      <c r="I1147" s="71"/>
      <c r="J1147" s="71"/>
      <c r="K1147" s="71"/>
      <c r="L1147" s="71"/>
      <c r="M1147" s="71"/>
      <c r="N1147" s="71"/>
      <c r="O1147" s="71"/>
    </row>
  </sheetData>
  <sheetProtection algorithmName="SHA-512" hashValue="k7AbJuU73akAGGp0IybhG2RSTk8MBm716bIwh0N6V4Q8xdmajVcGzbHksOf0w/3Hfwf/pQl68MJpFvov4BWn1g==" saltValue="hGfU4jdvnlRECizC4wmCIQ==" spinCount="100000" sheet="1" objects="1" scenarios="1" selectLockedCells="1"/>
  <sortState xmlns:xlrd2="http://schemas.microsoft.com/office/spreadsheetml/2017/richdata2" ref="A171:A263">
    <sortCondition ref="A171:A263"/>
  </sortState>
  <mergeCells count="33">
    <mergeCell ref="E7:F7"/>
    <mergeCell ref="A7:C7"/>
    <mergeCell ref="A16:B16"/>
    <mergeCell ref="A17:B17"/>
    <mergeCell ref="A19:B19"/>
    <mergeCell ref="A10:B10"/>
    <mergeCell ref="A11:B11"/>
    <mergeCell ref="A18:B18"/>
    <mergeCell ref="A9:B9"/>
    <mergeCell ref="A12:B12"/>
    <mergeCell ref="A13:B13"/>
    <mergeCell ref="C18:F18"/>
    <mergeCell ref="A286:N287"/>
    <mergeCell ref="A20:B20"/>
    <mergeCell ref="A62:N62"/>
    <mergeCell ref="A14:B14"/>
    <mergeCell ref="A15:B15"/>
    <mergeCell ref="C14:F14"/>
    <mergeCell ref="C15:F15"/>
    <mergeCell ref="C16:F16"/>
    <mergeCell ref="C17:F17"/>
    <mergeCell ref="C20:F20"/>
    <mergeCell ref="M28:M30"/>
    <mergeCell ref="N28:N30"/>
    <mergeCell ref="A70:N71"/>
    <mergeCell ref="G28:H30"/>
    <mergeCell ref="C19:F19"/>
    <mergeCell ref="C9:F9"/>
    <mergeCell ref="A72:N72"/>
    <mergeCell ref="C11:F11"/>
    <mergeCell ref="C12:F12"/>
    <mergeCell ref="C13:F13"/>
    <mergeCell ref="C10:F10"/>
  </mergeCells>
  <phoneticPr fontId="37" type="noConversion"/>
  <conditionalFormatting sqref="B64:M67">
    <cfRule type="cellIs" dxfId="5" priority="3" operator="equal">
      <formula>#REF!</formula>
    </cfRule>
    <cfRule type="cellIs" dxfId="4" priority="4" operator="equal">
      <formula>#REF!</formula>
    </cfRule>
  </conditionalFormatting>
  <conditionalFormatting sqref="B65:M68">
    <cfRule type="cellIs" dxfId="3" priority="9" operator="equal">
      <formula>#REF!</formula>
    </cfRule>
    <cfRule type="cellIs" dxfId="2" priority="10" operator="equal">
      <formula>#REF!</formula>
    </cfRule>
  </conditionalFormatting>
  <conditionalFormatting sqref="B66:M66">
    <cfRule type="cellIs" dxfId="1" priority="1" operator="equal">
      <formula>#REF!</formula>
    </cfRule>
    <cfRule type="cellIs" dxfId="0" priority="2" operator="equal">
      <formula>#REF!</formula>
    </cfRule>
  </conditionalFormatting>
  <dataValidations count="1">
    <dataValidation type="list" allowBlank="1" showInputMessage="1" showErrorMessage="1" sqref="A7:C7" xr:uid="{00000000-0002-0000-0200-000000000000}">
      <formula1>$A$171:$A$278</formula1>
    </dataValidation>
  </dataValidations>
  <pageMargins left="0.46" right="0.28000000000000003" top="0.56000000000000005" bottom="0.51" header="0.31496062992125984" footer="0.31496062992125984"/>
  <pageSetup scale="50"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2A764-3BAE-4012-A638-08EC94178863}">
  <dimension ref="A1:AC123"/>
  <sheetViews>
    <sheetView topLeftCell="A126" workbookViewId="0">
      <pane ySplit="1" topLeftCell="A127" activePane="bottomLeft" state="frozen"/>
      <selection activeCell="A126" sqref="A126"/>
      <selection pane="bottomLeft" activeCell="A127" sqref="A127"/>
    </sheetView>
  </sheetViews>
  <sheetFormatPr baseColWidth="10" defaultColWidth="11.453125" defaultRowHeight="14.5" x14ac:dyDescent="0.35"/>
  <cols>
    <col min="1" max="1" width="11.453125" style="211"/>
    <col min="2" max="2" width="15" style="211" bestFit="1" customWidth="1"/>
    <col min="3" max="16384" width="11.453125" style="211"/>
  </cols>
  <sheetData>
    <row r="1" spans="1:29" x14ac:dyDescent="0.35">
      <c r="B1" s="220">
        <v>1</v>
      </c>
      <c r="C1" s="220">
        <v>2</v>
      </c>
      <c r="D1" s="220">
        <v>3</v>
      </c>
      <c r="E1" s="220">
        <v>4</v>
      </c>
      <c r="F1" s="220">
        <v>5</v>
      </c>
      <c r="G1" s="220">
        <v>6</v>
      </c>
      <c r="H1" s="220">
        <v>7</v>
      </c>
      <c r="I1" s="220">
        <v>8</v>
      </c>
      <c r="J1" s="220">
        <v>9</v>
      </c>
      <c r="K1" s="220">
        <v>10</v>
      </c>
      <c r="L1" s="220">
        <v>11</v>
      </c>
      <c r="M1" s="220">
        <v>12</v>
      </c>
      <c r="N1" s="220">
        <v>13</v>
      </c>
      <c r="O1" s="220">
        <v>14</v>
      </c>
      <c r="P1" s="220">
        <v>15</v>
      </c>
      <c r="Q1" s="220">
        <v>16</v>
      </c>
      <c r="R1" s="220">
        <v>17</v>
      </c>
      <c r="S1" s="220">
        <v>18</v>
      </c>
      <c r="T1" s="220">
        <v>19</v>
      </c>
      <c r="U1" s="220">
        <v>20</v>
      </c>
      <c r="V1" s="220">
        <v>21</v>
      </c>
      <c r="W1" s="220">
        <v>22</v>
      </c>
      <c r="X1" s="220">
        <v>23</v>
      </c>
      <c r="Y1" s="220">
        <v>24</v>
      </c>
      <c r="Z1" s="220">
        <v>25</v>
      </c>
      <c r="AA1" s="220">
        <v>26</v>
      </c>
      <c r="AB1" s="220">
        <v>27</v>
      </c>
      <c r="AC1" s="220">
        <v>28</v>
      </c>
    </row>
    <row r="2" spans="1:29" x14ac:dyDescent="0.35">
      <c r="B2" s="308" t="s">
        <v>187</v>
      </c>
      <c r="D2" s="308">
        <v>31</v>
      </c>
      <c r="E2" s="308">
        <v>28</v>
      </c>
      <c r="F2" s="308">
        <v>31</v>
      </c>
      <c r="G2" s="308">
        <v>30</v>
      </c>
      <c r="H2" s="308">
        <v>30</v>
      </c>
      <c r="I2" s="308">
        <v>31</v>
      </c>
      <c r="J2" s="308">
        <v>31</v>
      </c>
      <c r="K2" s="308">
        <v>29</v>
      </c>
      <c r="L2" s="308">
        <v>32</v>
      </c>
      <c r="M2" s="308">
        <v>31</v>
      </c>
      <c r="N2" s="308">
        <v>28</v>
      </c>
      <c r="O2" s="308">
        <v>33</v>
      </c>
    </row>
    <row r="3" spans="1:29" x14ac:dyDescent="0.35">
      <c r="B3" s="211" t="s">
        <v>204</v>
      </c>
      <c r="C3" s="233">
        <v>45657</v>
      </c>
      <c r="D3" s="233">
        <v>45688</v>
      </c>
      <c r="E3" s="233">
        <v>45716</v>
      </c>
      <c r="F3" s="233">
        <v>45747</v>
      </c>
      <c r="G3" s="233">
        <v>45777</v>
      </c>
      <c r="H3" s="233">
        <v>45807</v>
      </c>
      <c r="I3" s="233">
        <v>45838</v>
      </c>
      <c r="J3" s="233">
        <v>45869</v>
      </c>
      <c r="K3" s="233">
        <v>45898</v>
      </c>
      <c r="L3" s="233">
        <v>45930</v>
      </c>
      <c r="M3" s="233">
        <v>45961</v>
      </c>
      <c r="N3" s="233">
        <v>45989</v>
      </c>
      <c r="O3" s="233">
        <v>46022</v>
      </c>
      <c r="P3" s="309" t="s">
        <v>350</v>
      </c>
      <c r="Q3" s="309" t="s">
        <v>351</v>
      </c>
      <c r="R3" s="309" t="s">
        <v>352</v>
      </c>
      <c r="S3" s="309" t="s">
        <v>353</v>
      </c>
      <c r="T3" s="309" t="s">
        <v>354</v>
      </c>
      <c r="U3" s="309" t="s">
        <v>355</v>
      </c>
      <c r="V3" s="309" t="s">
        <v>356</v>
      </c>
      <c r="W3" s="309" t="s">
        <v>357</v>
      </c>
      <c r="X3" s="309" t="s">
        <v>358</v>
      </c>
      <c r="Y3" s="309" t="s">
        <v>359</v>
      </c>
      <c r="Z3" s="309" t="s">
        <v>360</v>
      </c>
      <c r="AA3" s="309" t="s">
        <v>361</v>
      </c>
      <c r="AB3" s="211" t="s">
        <v>258</v>
      </c>
      <c r="AC3" s="211" t="s">
        <v>259</v>
      </c>
    </row>
    <row r="4" spans="1:29" x14ac:dyDescent="0.35">
      <c r="A4" s="310">
        <v>12</v>
      </c>
      <c r="B4" s="211" t="s">
        <v>231</v>
      </c>
      <c r="C4" s="234">
        <v>6.3655010000000001</v>
      </c>
      <c r="D4" s="234">
        <v>6.4120179999999998</v>
      </c>
      <c r="E4" s="234">
        <v>6.4487490000000003</v>
      </c>
      <c r="F4" s="234">
        <v>6.4878</v>
      </c>
      <c r="G4" s="234">
        <v>6.5267150000000003</v>
      </c>
      <c r="H4" s="234">
        <v>6.5642620000000003</v>
      </c>
      <c r="I4" s="234">
        <v>6.5972379999999999</v>
      </c>
      <c r="J4" s="234">
        <v>6.6305459999999998</v>
      </c>
      <c r="K4" s="234">
        <v>6.664256</v>
      </c>
      <c r="L4" s="234">
        <v>6.696485</v>
      </c>
      <c r="M4" s="234">
        <v>6.7301289999999998</v>
      </c>
      <c r="N4" s="234">
        <v>6.7566639999999998</v>
      </c>
      <c r="O4" s="234">
        <v>6.7863619999999996</v>
      </c>
      <c r="P4" s="267">
        <v>8.8232396675831604E-2</v>
      </c>
      <c r="Q4" s="267">
        <v>7.6205574886766936E-2</v>
      </c>
      <c r="R4" s="267">
        <v>7.2627181192912671E-2</v>
      </c>
      <c r="S4" s="267">
        <v>7.4400857883166083E-2</v>
      </c>
      <c r="T4" s="267">
        <v>7.126050623674951E-2</v>
      </c>
      <c r="U4" s="267">
        <v>5.9918624528819464E-2</v>
      </c>
      <c r="V4" s="267">
        <v>6.022746700937609E-2</v>
      </c>
      <c r="W4" s="267">
        <v>6.4976147660937178E-2</v>
      </c>
      <c r="X4" s="267">
        <v>5.5774875738306084E-2</v>
      </c>
      <c r="Y4" s="267">
        <v>5.9925517862124078E-2</v>
      </c>
      <c r="Z4" s="267">
        <v>5.1894071477385895E-2</v>
      </c>
      <c r="AA4" s="267">
        <v>4.9007374398173154E-2</v>
      </c>
      <c r="AB4" s="268">
        <v>8.8232396675831604E-2</v>
      </c>
      <c r="AC4" s="268">
        <v>4.9007374398173154E-2</v>
      </c>
    </row>
    <row r="5" spans="1:29" x14ac:dyDescent="0.35">
      <c r="A5" s="310">
        <v>13</v>
      </c>
      <c r="B5" s="211" t="s">
        <v>298</v>
      </c>
      <c r="C5" s="234">
        <v>6.3287800000000001</v>
      </c>
      <c r="D5" s="234">
        <v>6.3716249999999999</v>
      </c>
      <c r="E5" s="234">
        <v>6.4053969999999998</v>
      </c>
      <c r="F5" s="234">
        <v>6.4411209999999999</v>
      </c>
      <c r="G5" s="234">
        <v>6.4764749999999998</v>
      </c>
      <c r="H5" s="234">
        <v>6.5103799999999996</v>
      </c>
      <c r="I5" s="234">
        <v>6.539892</v>
      </c>
      <c r="J5" s="234">
        <v>6.5695119999999996</v>
      </c>
      <c r="K5" s="234">
        <v>6.5995710000000001</v>
      </c>
      <c r="L5" s="234">
        <v>6.6282699999999997</v>
      </c>
      <c r="M5" s="234">
        <v>6.658042</v>
      </c>
      <c r="N5" s="234">
        <v>6.6812649999999998</v>
      </c>
      <c r="O5" s="234">
        <v>6.7071699999999996</v>
      </c>
      <c r="P5" s="267">
        <v>8.1504244775455703E-2</v>
      </c>
      <c r="Q5" s="267">
        <v>7.0330743052253064E-2</v>
      </c>
      <c r="R5" s="267">
        <v>6.6718610406465206E-2</v>
      </c>
      <c r="S5" s="267">
        <v>6.7890760317641075E-2</v>
      </c>
      <c r="T5" s="267">
        <v>6.4661964528380356E-2</v>
      </c>
      <c r="U5" s="267">
        <v>5.3926942005941836E-2</v>
      </c>
      <c r="V5" s="267">
        <v>5.3878914603931571E-2</v>
      </c>
      <c r="W5" s="267">
        <v>5.8306654360188226E-2</v>
      </c>
      <c r="X5" s="267">
        <v>5.002698722529253E-2</v>
      </c>
      <c r="Y5" s="267">
        <v>5.3422650661634874E-2</v>
      </c>
      <c r="Z5" s="267">
        <v>4.5784375798071819E-2</v>
      </c>
      <c r="AA5" s="267">
        <v>4.311934237220072E-2</v>
      </c>
      <c r="AB5" s="268">
        <v>8.1504244775455703E-2</v>
      </c>
      <c r="AC5" s="268">
        <v>4.311934237220072E-2</v>
      </c>
    </row>
    <row r="6" spans="1:29" x14ac:dyDescent="0.35">
      <c r="A6" s="310">
        <v>14</v>
      </c>
      <c r="B6" s="211" t="s">
        <v>3</v>
      </c>
      <c r="C6" s="234">
        <v>7.4640399999999998</v>
      </c>
      <c r="D6" s="234">
        <v>7.522437</v>
      </c>
      <c r="E6" s="234">
        <v>7.5687249999999997</v>
      </c>
      <c r="F6" s="234">
        <v>7.6180300000000001</v>
      </c>
      <c r="G6" s="234">
        <v>7.6674300000000004</v>
      </c>
      <c r="H6" s="234">
        <v>7.7152770000000004</v>
      </c>
      <c r="I6" s="234">
        <v>7.7575390000000004</v>
      </c>
      <c r="J6" s="234">
        <v>7.8004680000000004</v>
      </c>
      <c r="K6" s="234">
        <v>7.843915</v>
      </c>
      <c r="L6" s="234">
        <v>7.8855430000000002</v>
      </c>
      <c r="M6" s="234">
        <v>7.9292689999999997</v>
      </c>
      <c r="N6" s="234">
        <v>7.9640430000000002</v>
      </c>
      <c r="O6" s="234">
        <v>8.0031429999999997</v>
      </c>
      <c r="P6" s="267">
        <v>9.472502236323832E-2</v>
      </c>
      <c r="Q6" s="267">
        <v>8.2065554994098289E-2</v>
      </c>
      <c r="R6" s="267">
        <v>7.8320437989725988E-2</v>
      </c>
      <c r="S6" s="267">
        <v>8.0651583408737348E-2</v>
      </c>
      <c r="T6" s="267">
        <v>7.750784183758852E-2</v>
      </c>
      <c r="U6" s="267">
        <v>6.5493903257040964E-2</v>
      </c>
      <c r="V6" s="267">
        <v>6.6184959649229658E-2</v>
      </c>
      <c r="W6" s="267">
        <v>7.1383097740132184E-2</v>
      </c>
      <c r="X6" s="267">
        <v>6.13549789676755E-2</v>
      </c>
      <c r="Y6" s="267">
        <v>6.6323389583116121E-2</v>
      </c>
      <c r="Z6" s="267">
        <v>5.7874842485997391E-2</v>
      </c>
      <c r="AA6" s="267">
        <v>5.4880892298700967E-2</v>
      </c>
      <c r="AB6" s="268">
        <v>9.472502236323832E-2</v>
      </c>
      <c r="AC6" s="268">
        <v>5.4880892298700967E-2</v>
      </c>
    </row>
    <row r="7" spans="1:29" x14ac:dyDescent="0.35">
      <c r="A7" s="310">
        <v>15</v>
      </c>
      <c r="B7" s="211" t="s">
        <v>194</v>
      </c>
      <c r="C7" s="234">
        <v>7.9352039999999997</v>
      </c>
      <c r="D7" s="234">
        <v>8.0077780000000001</v>
      </c>
      <c r="E7" s="234">
        <v>8.0656999999999996</v>
      </c>
      <c r="F7" s="234">
        <v>8.1276010000000003</v>
      </c>
      <c r="G7" s="234">
        <v>8.1903869999999994</v>
      </c>
      <c r="H7" s="234">
        <v>8.2516529999999992</v>
      </c>
      <c r="I7" s="234">
        <v>8.3064180000000007</v>
      </c>
      <c r="J7" s="234">
        <v>8.3626760000000004</v>
      </c>
      <c r="K7" s="234">
        <v>8.4196190000000009</v>
      </c>
      <c r="L7" s="234">
        <v>8.4743949999999995</v>
      </c>
      <c r="M7" s="234">
        <v>8.532565</v>
      </c>
      <c r="N7" s="234">
        <v>8.5795239999999993</v>
      </c>
      <c r="O7" s="234">
        <v>8.6326129999999992</v>
      </c>
      <c r="P7" s="267">
        <v>0.11151822758471464</v>
      </c>
      <c r="Q7" s="267">
        <v>9.709281383053403E-2</v>
      </c>
      <c r="R7" s="267">
        <v>9.2844685194545917E-2</v>
      </c>
      <c r="S7" s="267">
        <v>9.67422483244047E-2</v>
      </c>
      <c r="T7" s="267">
        <v>9.3549396554566844E-2</v>
      </c>
      <c r="U7" s="267">
        <v>7.9846050327072371E-2</v>
      </c>
      <c r="V7" s="267">
        <v>8.1541270954569756E-2</v>
      </c>
      <c r="W7" s="267">
        <v>8.7891391008202868E-2</v>
      </c>
      <c r="X7" s="267">
        <v>7.5679680496174573E-2</v>
      </c>
      <c r="Y7" s="267">
        <v>8.2681712564351306E-2</v>
      </c>
      <c r="Z7" s="267">
        <v>7.3114671635358786E-2</v>
      </c>
      <c r="AA7" s="267">
        <v>6.9612108333276579E-2</v>
      </c>
      <c r="AB7" s="268">
        <v>0.11151822758471464</v>
      </c>
      <c r="AC7" s="268">
        <v>6.9612108333276579E-2</v>
      </c>
    </row>
    <row r="8" spans="1:29" x14ac:dyDescent="0.35">
      <c r="A8" s="310">
        <v>16</v>
      </c>
      <c r="B8" s="211" t="s">
        <v>4</v>
      </c>
      <c r="C8" s="234">
        <v>6.3654970000000004</v>
      </c>
      <c r="D8" s="234">
        <v>6.412013</v>
      </c>
      <c r="E8" s="234">
        <v>6.4487439999999996</v>
      </c>
      <c r="F8" s="234">
        <v>6.4877950000000002</v>
      </c>
      <c r="G8" s="234">
        <v>6.5267109999999997</v>
      </c>
      <c r="H8" s="234">
        <v>6.5642569999999996</v>
      </c>
      <c r="I8" s="234">
        <v>6.5972330000000001</v>
      </c>
      <c r="J8" s="234">
        <v>6.630541</v>
      </c>
      <c r="K8" s="234">
        <v>6.6642510000000001</v>
      </c>
      <c r="L8" s="234">
        <v>6.6964790000000001</v>
      </c>
      <c r="M8" s="234">
        <v>6.730124</v>
      </c>
      <c r="N8" s="234">
        <v>6.756659</v>
      </c>
      <c r="O8" s="234">
        <v>6.7863559999999996</v>
      </c>
      <c r="P8" s="267">
        <v>8.823048337312378E-2</v>
      </c>
      <c r="Q8" s="267">
        <v>7.6205636343941174E-2</v>
      </c>
      <c r="R8" s="267">
        <v>7.2627239325440351E-2</v>
      </c>
      <c r="S8" s="267">
        <v>7.4402892520667674E-2</v>
      </c>
      <c r="T8" s="267">
        <v>7.1258592950729449E-2</v>
      </c>
      <c r="U8" s="267">
        <v>5.991867139220064E-2</v>
      </c>
      <c r="V8" s="267">
        <v>6.0227513885027228E-2</v>
      </c>
      <c r="W8" s="267">
        <v>6.4976198089023995E-2</v>
      </c>
      <c r="X8" s="267">
        <v>5.577314494007668E-2</v>
      </c>
      <c r="Y8" s="267">
        <v>5.9927401909287692E-2</v>
      </c>
      <c r="Z8" s="267">
        <v>5.1894110936759663E-2</v>
      </c>
      <c r="AA8" s="267">
        <v>4.9005725175721659E-2</v>
      </c>
      <c r="AB8" s="268">
        <v>8.823048337312378E-2</v>
      </c>
      <c r="AC8" s="268">
        <v>4.9005725175721659E-2</v>
      </c>
    </row>
    <row r="9" spans="1:29" x14ac:dyDescent="0.35">
      <c r="A9" s="310">
        <v>17</v>
      </c>
      <c r="B9" s="211" t="s">
        <v>232</v>
      </c>
      <c r="C9" s="234">
        <v>8.1547920000000005</v>
      </c>
      <c r="D9" s="234">
        <v>8.2311010000000007</v>
      </c>
      <c r="E9" s="234">
        <v>8.2920610000000003</v>
      </c>
      <c r="F9" s="234">
        <v>8.3572389999999999</v>
      </c>
      <c r="G9" s="234">
        <v>8.4234589999999994</v>
      </c>
      <c r="H9" s="234">
        <v>8.4881410000000006</v>
      </c>
      <c r="I9" s="234">
        <v>8.5460510000000003</v>
      </c>
      <c r="J9" s="234">
        <v>8.6056279999999994</v>
      </c>
      <c r="K9" s="234">
        <v>8.6659319999999997</v>
      </c>
      <c r="L9" s="234">
        <v>8.7239740000000001</v>
      </c>
      <c r="M9" s="234">
        <v>8.7857000000000003</v>
      </c>
      <c r="N9" s="234">
        <v>8.8356239999999993</v>
      </c>
      <c r="O9" s="234">
        <v>8.8921069999999993</v>
      </c>
      <c r="P9" s="267">
        <v>0.11422959019080481</v>
      </c>
      <c r="Q9" s="267">
        <v>9.9515748424103156E-2</v>
      </c>
      <c r="R9" s="267">
        <v>9.518566226916203E-2</v>
      </c>
      <c r="S9" s="267">
        <v>9.9339236565707534E-2</v>
      </c>
      <c r="T9" s="267">
        <v>9.6138485982908417E-2</v>
      </c>
      <c r="U9" s="267">
        <v>8.2160515921920974E-2</v>
      </c>
      <c r="V9" s="267">
        <v>8.4019654032835067E-2</v>
      </c>
      <c r="W9" s="267">
        <v>9.0554595566771701E-2</v>
      </c>
      <c r="X9" s="267">
        <v>7.7989955379126119E-2</v>
      </c>
      <c r="Y9" s="267">
        <v>8.5322461301621688E-2</v>
      </c>
      <c r="Z9" s="267">
        <v>7.5572240203552576E-2</v>
      </c>
      <c r="AA9" s="267">
        <v>7.1989187832999013E-2</v>
      </c>
      <c r="AB9" s="268">
        <v>0.11422959019080481</v>
      </c>
      <c r="AC9" s="268">
        <v>7.1989187832999013E-2</v>
      </c>
    </row>
    <row r="10" spans="1:29" x14ac:dyDescent="0.35">
      <c r="A10" s="310">
        <v>18</v>
      </c>
      <c r="B10" s="211" t="s">
        <v>153</v>
      </c>
      <c r="C10" s="234">
        <v>6.9965640000000002</v>
      </c>
      <c r="D10" s="234">
        <v>7.0572660000000003</v>
      </c>
      <c r="E10" s="234">
        <v>7.1055869999999999</v>
      </c>
      <c r="F10" s="234">
        <v>7.157159</v>
      </c>
      <c r="G10" s="234">
        <v>7.2092910000000003</v>
      </c>
      <c r="H10" s="234">
        <v>7.2600350000000002</v>
      </c>
      <c r="I10" s="234">
        <v>7.3052359999999998</v>
      </c>
      <c r="J10" s="234">
        <v>7.3515119999999996</v>
      </c>
      <c r="K10" s="234">
        <v>7.3983460000000001</v>
      </c>
      <c r="L10" s="234">
        <v>7.4433379999999998</v>
      </c>
      <c r="M10" s="234">
        <v>7.4909410000000003</v>
      </c>
      <c r="N10" s="234">
        <v>7.529185</v>
      </c>
      <c r="O10" s="234">
        <v>7.572298</v>
      </c>
      <c r="P10" s="267">
        <v>0.10552316976549947</v>
      </c>
      <c r="Q10" s="267">
        <v>9.1696233136175476E-2</v>
      </c>
      <c r="R10" s="267">
        <v>8.7608750543624048E-2</v>
      </c>
      <c r="S10" s="267">
        <v>9.0994816327759409E-2</v>
      </c>
      <c r="T10" s="267">
        <v>8.7812139191379091E-2</v>
      </c>
      <c r="U10" s="267">
        <v>7.4738981885709821E-2</v>
      </c>
      <c r="V10" s="267">
        <v>7.6087176828516734E-2</v>
      </c>
      <c r="W10" s="267">
        <v>8.2023867584083643E-2</v>
      </c>
      <c r="X10" s="267">
        <v>7.058807717114135E-2</v>
      </c>
      <c r="Y10" s="267">
        <v>7.6841787784740045E-2</v>
      </c>
      <c r="Z10" s="267">
        <v>6.7664376187962061E-2</v>
      </c>
      <c r="AA10" s="267">
        <v>6.4269419981247244E-2</v>
      </c>
      <c r="AB10" s="268">
        <v>0.10552316976549947</v>
      </c>
      <c r="AC10" s="268">
        <v>6.4269419981247244E-2</v>
      </c>
    </row>
    <row r="11" spans="1:29" x14ac:dyDescent="0.35">
      <c r="A11" s="310">
        <v>19</v>
      </c>
      <c r="B11" s="211" t="s">
        <v>154</v>
      </c>
      <c r="C11" s="234">
        <v>6.6778979999999999</v>
      </c>
      <c r="D11" s="234">
        <v>6.7301440000000001</v>
      </c>
      <c r="E11" s="234">
        <v>6.7715569999999996</v>
      </c>
      <c r="F11" s="234">
        <v>6.8156679999999996</v>
      </c>
      <c r="G11" s="234">
        <v>6.8598660000000002</v>
      </c>
      <c r="H11" s="234">
        <v>6.9026730000000001</v>
      </c>
      <c r="I11" s="234">
        <v>6.9404849999999998</v>
      </c>
      <c r="J11" s="234">
        <v>6.978891</v>
      </c>
      <c r="K11" s="234">
        <v>7.0177630000000004</v>
      </c>
      <c r="L11" s="234">
        <v>7.0550059999999997</v>
      </c>
      <c r="M11" s="234">
        <v>7.0941270000000003</v>
      </c>
      <c r="N11" s="234">
        <v>7.1252380000000004</v>
      </c>
      <c r="O11" s="234">
        <v>7.1602199999999998</v>
      </c>
      <c r="P11" s="267">
        <v>9.4724269299808928E-2</v>
      </c>
      <c r="Q11" s="267">
        <v>8.2066040601172174E-2</v>
      </c>
      <c r="R11" s="267">
        <v>7.8318595669575108E-2</v>
      </c>
      <c r="S11" s="267">
        <v>8.0653491842866076E-2</v>
      </c>
      <c r="T11" s="267">
        <v>7.750678338330852E-2</v>
      </c>
      <c r="U11" s="267">
        <v>6.5496049378596988E-2</v>
      </c>
      <c r="V11" s="267">
        <v>6.6182206644223918E-2</v>
      </c>
      <c r="W11" s="267">
        <v>7.1385020704981983E-2</v>
      </c>
      <c r="X11" s="267">
        <v>6.1354005471230266E-2</v>
      </c>
      <c r="Y11" s="267">
        <v>6.632408362382769E-2</v>
      </c>
      <c r="Z11" s="267">
        <v>5.7873955498685126E-2</v>
      </c>
      <c r="AA11" s="267">
        <v>5.4881164014302319E-2</v>
      </c>
      <c r="AB11" s="268">
        <v>9.4724269299808928E-2</v>
      </c>
      <c r="AC11" s="268">
        <v>5.4881164014302319E-2</v>
      </c>
    </row>
    <row r="12" spans="1:29" x14ac:dyDescent="0.35">
      <c r="A12" s="310">
        <v>20</v>
      </c>
      <c r="B12" s="211" t="s">
        <v>5</v>
      </c>
      <c r="C12" s="234">
        <v>7.1483549999999996</v>
      </c>
      <c r="D12" s="234">
        <v>7.2066650000000001</v>
      </c>
      <c r="E12" s="234">
        <v>7.2529529999999998</v>
      </c>
      <c r="F12" s="234">
        <v>7.3022900000000002</v>
      </c>
      <c r="G12" s="234">
        <v>7.3519199999999998</v>
      </c>
      <c r="H12" s="234">
        <v>7.4000830000000004</v>
      </c>
      <c r="I12" s="234">
        <v>7.4427820000000002</v>
      </c>
      <c r="J12" s="234">
        <v>7.4863</v>
      </c>
      <c r="K12" s="234">
        <v>7.530341</v>
      </c>
      <c r="L12" s="234">
        <v>7.5725800000000003</v>
      </c>
      <c r="M12" s="234">
        <v>7.6170730000000004</v>
      </c>
      <c r="N12" s="234">
        <v>7.6526050000000003</v>
      </c>
      <c r="O12" s="234">
        <v>7.6925679999999996</v>
      </c>
      <c r="P12" s="267">
        <v>9.8937272681465682E-2</v>
      </c>
      <c r="Q12" s="267">
        <v>8.5799544468146971E-2</v>
      </c>
      <c r="R12" s="267">
        <v>8.1909320955186216E-2</v>
      </c>
      <c r="S12" s="267">
        <v>8.4676810507422484E-2</v>
      </c>
      <c r="T12" s="267">
        <v>8.1508205083852481E-2</v>
      </c>
      <c r="U12" s="267">
        <v>6.9097346950817373E-2</v>
      </c>
      <c r="V12" s="267">
        <v>7.0047447819163944E-2</v>
      </c>
      <c r="W12" s="267">
        <v>7.5531412294829847E-2</v>
      </c>
      <c r="X12" s="267">
        <v>6.4948987092925181E-2</v>
      </c>
      <c r="Y12" s="267">
        <v>7.0400003900279007E-2</v>
      </c>
      <c r="Z12" s="267">
        <v>6.166278091753985E-2</v>
      </c>
      <c r="AA12" s="267">
        <v>5.8465906939392909E-2</v>
      </c>
      <c r="AB12" s="268">
        <v>9.8937272681465682E-2</v>
      </c>
      <c r="AC12" s="268">
        <v>5.8465906939392909E-2</v>
      </c>
    </row>
    <row r="13" spans="1:29" x14ac:dyDescent="0.35">
      <c r="A13" s="310">
        <v>21</v>
      </c>
      <c r="B13" s="211" t="s">
        <v>195</v>
      </c>
      <c r="C13" s="234">
        <v>7.3268760000000004</v>
      </c>
      <c r="D13" s="234">
        <v>7.3905989999999999</v>
      </c>
      <c r="E13" s="234">
        <v>7.4413320000000001</v>
      </c>
      <c r="F13" s="234">
        <v>7.4954809999999998</v>
      </c>
      <c r="G13" s="234">
        <v>7.5502260000000003</v>
      </c>
      <c r="H13" s="234">
        <v>7.6035199999999996</v>
      </c>
      <c r="I13" s="234">
        <v>7.6510009999999999</v>
      </c>
      <c r="J13" s="234">
        <v>7.6996180000000001</v>
      </c>
      <c r="K13" s="234">
        <v>7.7488229999999998</v>
      </c>
      <c r="L13" s="234">
        <v>7.7960950000000002</v>
      </c>
      <c r="M13" s="234">
        <v>7.84612</v>
      </c>
      <c r="N13" s="234">
        <v>7.8863180000000002</v>
      </c>
      <c r="O13" s="234">
        <v>7.9316409999999999</v>
      </c>
      <c r="P13" s="267">
        <v>0.1057928442653524</v>
      </c>
      <c r="Q13" s="267">
        <v>9.1940857604585924E-2</v>
      </c>
      <c r="R13" s="267">
        <v>8.7844988269791813E-2</v>
      </c>
      <c r="S13" s="267">
        <v>9.1252688328432807E-2</v>
      </c>
      <c r="T13" s="267">
        <v>8.8070143513796939E-2</v>
      </c>
      <c r="U13" s="267">
        <v>7.4969770283977333E-2</v>
      </c>
      <c r="V13" s="267">
        <v>7.6331801721290171E-2</v>
      </c>
      <c r="W13" s="267">
        <v>8.2289696612429353E-2</v>
      </c>
      <c r="X13" s="267">
        <v>7.0817710990131344E-2</v>
      </c>
      <c r="Y13" s="267">
        <v>7.7106370384415257E-2</v>
      </c>
      <c r="Z13" s="267">
        <v>6.7909279155890401E-2</v>
      </c>
      <c r="AA13" s="267">
        <v>6.4510995376774405E-2</v>
      </c>
      <c r="AB13" s="268">
        <v>0.1057928442653524</v>
      </c>
      <c r="AC13" s="268">
        <v>6.4510995376774405E-2</v>
      </c>
    </row>
    <row r="14" spans="1:29" x14ac:dyDescent="0.35">
      <c r="A14" s="310">
        <v>22</v>
      </c>
      <c r="B14" s="211" t="s">
        <v>155</v>
      </c>
      <c r="C14" s="234">
        <v>7.4721200000000003</v>
      </c>
      <c r="D14" s="234">
        <v>7.5364079999999998</v>
      </c>
      <c r="E14" s="234">
        <v>7.5876130000000002</v>
      </c>
      <c r="F14" s="234">
        <v>7.6422480000000004</v>
      </c>
      <c r="G14" s="234">
        <v>7.6974159999999996</v>
      </c>
      <c r="H14" s="234">
        <v>7.7511039999999998</v>
      </c>
      <c r="I14" s="234">
        <v>7.7989069999999998</v>
      </c>
      <c r="J14" s="234">
        <v>7.8478199999999996</v>
      </c>
      <c r="K14" s="234">
        <v>7.8973519999999997</v>
      </c>
      <c r="L14" s="234">
        <v>7.944928</v>
      </c>
      <c r="M14" s="234">
        <v>7.9952100000000002</v>
      </c>
      <c r="N14" s="234">
        <v>8.0356050000000003</v>
      </c>
      <c r="O14" s="234">
        <v>8.0812100000000004</v>
      </c>
      <c r="P14" s="267">
        <v>0.10460384231104292</v>
      </c>
      <c r="Q14" s="267">
        <v>9.0962695447143194E-2</v>
      </c>
      <c r="R14" s="267">
        <v>8.6889226456293933E-2</v>
      </c>
      <c r="S14" s="267">
        <v>9.0149288344596457E-2</v>
      </c>
      <c r="T14" s="267">
        <v>8.6984295550057933E-2</v>
      </c>
      <c r="U14" s="267">
        <v>7.4010463694418105E-2</v>
      </c>
      <c r="V14" s="267">
        <v>7.5306872669323344E-2</v>
      </c>
      <c r="W14" s="267">
        <v>8.1235317096901793E-2</v>
      </c>
      <c r="X14" s="267">
        <v>6.9905174544683923E-2</v>
      </c>
      <c r="Y14" s="267">
        <v>7.6014945494623287E-2</v>
      </c>
      <c r="Z14" s="267">
        <v>6.6941218439425132E-2</v>
      </c>
      <c r="AA14" s="267">
        <v>6.3683683367264265E-2</v>
      </c>
      <c r="AB14" s="268">
        <v>0.10460384231104292</v>
      </c>
      <c r="AC14" s="268">
        <v>6.3683683367264265E-2</v>
      </c>
    </row>
    <row r="15" spans="1:29" x14ac:dyDescent="0.35">
      <c r="A15" s="310">
        <v>23</v>
      </c>
      <c r="B15" s="211" t="s">
        <v>233</v>
      </c>
      <c r="C15" s="234">
        <v>0.815419</v>
      </c>
      <c r="D15" s="234">
        <v>0.82092699999999996</v>
      </c>
      <c r="E15" s="234">
        <v>0.82527499999999998</v>
      </c>
      <c r="F15" s="234">
        <v>0.82987299999999997</v>
      </c>
      <c r="G15" s="234">
        <v>0.83444300000000005</v>
      </c>
      <c r="H15" s="234">
        <v>0.83892500000000003</v>
      </c>
      <c r="I15" s="234">
        <v>0.84292599999999995</v>
      </c>
      <c r="J15" s="234">
        <v>0.846804</v>
      </c>
      <c r="K15" s="234">
        <v>0.85063599999999995</v>
      </c>
      <c r="L15" s="234">
        <v>0.85428599999999999</v>
      </c>
      <c r="M15" s="234">
        <v>0.85818700000000003</v>
      </c>
      <c r="N15" s="234">
        <v>0.86138499999999996</v>
      </c>
      <c r="O15" s="234">
        <v>0.86486700000000005</v>
      </c>
      <c r="P15" s="267">
        <v>8.1316415777358042E-2</v>
      </c>
      <c r="Q15" s="267">
        <v>7.0277039452518508E-2</v>
      </c>
      <c r="R15" s="267">
        <v>6.6648447205082562E-2</v>
      </c>
      <c r="S15" s="267">
        <v>6.8121087930228974E-2</v>
      </c>
      <c r="T15" s="267">
        <v>6.6393598880341909E-2</v>
      </c>
      <c r="U15" s="267">
        <v>5.6807521967825458E-2</v>
      </c>
      <c r="V15" s="267">
        <v>5.4750532365309024E-2</v>
      </c>
      <c r="W15" s="267">
        <v>5.764929382851669E-2</v>
      </c>
      <c r="X15" s="267">
        <v>4.9348434158616339E-2</v>
      </c>
      <c r="Y15" s="267">
        <v>5.4332953714495869E-2</v>
      </c>
      <c r="Z15" s="267">
        <v>4.8984534681222991E-2</v>
      </c>
      <c r="AA15" s="267">
        <v>4.4991994561699888E-2</v>
      </c>
      <c r="AB15" s="268">
        <v>8.1316415777358042E-2</v>
      </c>
      <c r="AC15" s="268">
        <v>4.4991994561699888E-2</v>
      </c>
    </row>
    <row r="16" spans="1:29" x14ac:dyDescent="0.35">
      <c r="A16" s="310">
        <v>24</v>
      </c>
      <c r="B16" s="211" t="s">
        <v>6</v>
      </c>
      <c r="C16" s="234">
        <v>1.0398829999999999</v>
      </c>
      <c r="D16" s="234">
        <v>1.048184</v>
      </c>
      <c r="E16" s="234">
        <v>1.0547869999999999</v>
      </c>
      <c r="F16" s="234">
        <v>1.0617989999999999</v>
      </c>
      <c r="G16" s="234">
        <v>1.068867</v>
      </c>
      <c r="H16" s="234">
        <v>1.0758380000000001</v>
      </c>
      <c r="I16" s="234">
        <v>1.0821240000000001</v>
      </c>
      <c r="J16" s="234">
        <v>1.088341</v>
      </c>
      <c r="K16" s="234">
        <v>1.0945100000000001</v>
      </c>
      <c r="L16" s="234">
        <v>1.100419</v>
      </c>
      <c r="M16" s="234">
        <v>1.106784</v>
      </c>
      <c r="N16" s="234">
        <v>1.11205</v>
      </c>
      <c r="O16" s="234">
        <v>1.1178680000000001</v>
      </c>
      <c r="P16" s="267">
        <v>9.6730468563663408E-2</v>
      </c>
      <c r="Q16" s="267">
        <v>8.4088021452181971E-2</v>
      </c>
      <c r="R16" s="267">
        <v>7.9982288371228893E-2</v>
      </c>
      <c r="S16" s="267">
        <v>8.2869903857324401E-2</v>
      </c>
      <c r="T16" s="267">
        <v>8.113153025979214E-2</v>
      </c>
      <c r="U16" s="267">
        <v>6.9996548930678193E-2</v>
      </c>
      <c r="V16" s="267">
        <v>6.8790169921112865E-2</v>
      </c>
      <c r="W16" s="267">
        <v>7.2686165464674435E-2</v>
      </c>
      <c r="X16" s="267">
        <v>6.2444856455239339E-2</v>
      </c>
      <c r="Y16" s="267">
        <v>6.9271287974742579E-2</v>
      </c>
      <c r="Z16" s="267">
        <v>6.2929002226538744E-2</v>
      </c>
      <c r="AA16" s="267">
        <v>5.8576598234914456E-2</v>
      </c>
      <c r="AB16" s="268">
        <v>9.6730468563663408E-2</v>
      </c>
      <c r="AC16" s="268">
        <v>5.8576598234914456E-2</v>
      </c>
    </row>
    <row r="17" spans="1:29" x14ac:dyDescent="0.35">
      <c r="A17" s="310">
        <v>25</v>
      </c>
      <c r="B17" s="211" t="s">
        <v>7</v>
      </c>
      <c r="C17" s="234">
        <v>1.0896049999999999</v>
      </c>
      <c r="D17" s="234">
        <v>1.0985910000000001</v>
      </c>
      <c r="E17" s="234">
        <v>1.105748</v>
      </c>
      <c r="F17" s="234">
        <v>1.113356</v>
      </c>
      <c r="G17" s="234">
        <v>1.1210439999999999</v>
      </c>
      <c r="H17" s="234">
        <v>1.128633</v>
      </c>
      <c r="I17" s="234">
        <v>1.135489</v>
      </c>
      <c r="J17" s="234">
        <v>1.1422939999999999</v>
      </c>
      <c r="K17" s="234">
        <v>1.149051</v>
      </c>
      <c r="L17" s="234">
        <v>1.1555299999999999</v>
      </c>
      <c r="M17" s="234">
        <v>1.1625190000000001</v>
      </c>
      <c r="N17" s="234">
        <v>1.16831</v>
      </c>
      <c r="O17" s="234">
        <v>1.1747209999999999</v>
      </c>
      <c r="P17" s="267">
        <v>0.10007586756139153</v>
      </c>
      <c r="Q17" s="267">
        <v>8.7073124650246525E-2</v>
      </c>
      <c r="R17" s="267">
        <v>8.2884069308055475E-2</v>
      </c>
      <c r="S17" s="267">
        <v>8.6083600910109581E-2</v>
      </c>
      <c r="T17" s="267">
        <v>8.4328891923565852E-2</v>
      </c>
      <c r="U17" s="267">
        <v>7.2862601160149643E-2</v>
      </c>
      <c r="V17" s="267">
        <v>7.1852607657683087E-2</v>
      </c>
      <c r="W17" s="267">
        <v>7.5961685182394323E-2</v>
      </c>
      <c r="X17" s="267">
        <v>6.5299201276384444E-2</v>
      </c>
      <c r="Y17" s="267">
        <v>7.2536970872553397E-2</v>
      </c>
      <c r="Z17" s="267">
        <v>6.5972880452300098E-2</v>
      </c>
      <c r="AA17" s="267">
        <v>6.1517029432141879E-2</v>
      </c>
      <c r="AB17" s="268">
        <v>0.10007586756139153</v>
      </c>
      <c r="AC17" s="268">
        <v>6.1517029432141879E-2</v>
      </c>
    </row>
    <row r="18" spans="1:29" x14ac:dyDescent="0.35">
      <c r="A18" s="310">
        <v>26</v>
      </c>
      <c r="B18" s="211" t="s">
        <v>8</v>
      </c>
      <c r="C18" s="234">
        <v>0.81542000000000003</v>
      </c>
      <c r="D18" s="234">
        <v>0.82092699999999996</v>
      </c>
      <c r="E18" s="234">
        <v>0.82527499999999998</v>
      </c>
      <c r="F18" s="234">
        <v>0.829874</v>
      </c>
      <c r="G18" s="234">
        <v>0.83444300000000005</v>
      </c>
      <c r="H18" s="234">
        <v>0.83892599999999995</v>
      </c>
      <c r="I18" s="234">
        <v>0.84292699999999998</v>
      </c>
      <c r="J18" s="234">
        <v>0.84680500000000003</v>
      </c>
      <c r="K18" s="234">
        <v>0.85063599999999995</v>
      </c>
      <c r="L18" s="234">
        <v>0.85428700000000002</v>
      </c>
      <c r="M18" s="234">
        <v>0.85818799999999995</v>
      </c>
      <c r="N18" s="234">
        <v>0.86138599999999999</v>
      </c>
      <c r="O18" s="234">
        <v>0.86486799999999997</v>
      </c>
      <c r="P18" s="267">
        <v>8.1301016178160657E-2</v>
      </c>
      <c r="Q18" s="267">
        <v>7.0277039452518508E-2</v>
      </c>
      <c r="R18" s="267">
        <v>6.6663373542486415E-2</v>
      </c>
      <c r="S18" s="267">
        <v>6.8105642973393943E-2</v>
      </c>
      <c r="T18" s="267">
        <v>6.6408852695739151E-2</v>
      </c>
      <c r="U18" s="267">
        <v>5.6807452530636793E-2</v>
      </c>
      <c r="V18" s="267">
        <v>5.4750465818767413E-2</v>
      </c>
      <c r="W18" s="267">
        <v>5.7633789254230905E-2</v>
      </c>
      <c r="X18" s="267">
        <v>4.9362252997631195E-2</v>
      </c>
      <c r="Y18" s="267">
        <v>5.4332888565338244E-2</v>
      </c>
      <c r="Z18" s="267">
        <v>4.898447633506664E-2</v>
      </c>
      <c r="AA18" s="267">
        <v>4.4991941279376446E-2</v>
      </c>
      <c r="AB18" s="268">
        <v>8.1301016178160657E-2</v>
      </c>
      <c r="AC18" s="268">
        <v>4.4991941279376446E-2</v>
      </c>
    </row>
    <row r="19" spans="1:29" x14ac:dyDescent="0.35">
      <c r="A19" s="310">
        <v>27</v>
      </c>
      <c r="B19" s="211" t="s">
        <v>9</v>
      </c>
      <c r="C19" s="234">
        <v>0.90320900000000004</v>
      </c>
      <c r="D19" s="234">
        <v>0.90982499999999999</v>
      </c>
      <c r="E19" s="234">
        <v>0.91506900000000002</v>
      </c>
      <c r="F19" s="234">
        <v>0.92062600000000006</v>
      </c>
      <c r="G19" s="234">
        <v>0.92618800000000001</v>
      </c>
      <c r="H19" s="234">
        <v>0.93166000000000004</v>
      </c>
      <c r="I19" s="234">
        <v>0.93657000000000001</v>
      </c>
      <c r="J19" s="234">
        <v>0.94137999999999999</v>
      </c>
      <c r="K19" s="234">
        <v>0.94614299999999996</v>
      </c>
      <c r="L19" s="234">
        <v>0.95069400000000004</v>
      </c>
      <c r="M19" s="234">
        <v>0.95557700000000001</v>
      </c>
      <c r="N19" s="234">
        <v>0.95960100000000004</v>
      </c>
      <c r="O19" s="234">
        <v>0.96401099999999995</v>
      </c>
      <c r="P19" s="267">
        <v>8.8449715843811116E-2</v>
      </c>
      <c r="Q19" s="267">
        <v>7.6691117264969133E-2</v>
      </c>
      <c r="R19" s="267">
        <v>7.2839825061390417E-2</v>
      </c>
      <c r="S19" s="267">
        <v>7.4956689954986278E-2</v>
      </c>
      <c r="T19" s="267">
        <v>7.3246794668147874E-2</v>
      </c>
      <c r="U19" s="267">
        <v>6.2942690118923394E-2</v>
      </c>
      <c r="V19" s="267">
        <v>6.1293524812308542E-2</v>
      </c>
      <c r="W19" s="267">
        <v>6.4654555776138656E-2</v>
      </c>
      <c r="X19" s="267">
        <v>5.5467073452891702E-2</v>
      </c>
      <c r="Y19" s="267">
        <v>6.1299490082063146E-2</v>
      </c>
      <c r="Z19" s="267">
        <v>5.5514818045668157E-2</v>
      </c>
      <c r="AA19" s="267">
        <v>5.1291727501769024E-2</v>
      </c>
      <c r="AB19" s="268">
        <v>8.8449715843811116E-2</v>
      </c>
      <c r="AC19" s="268">
        <v>5.1291727501769024E-2</v>
      </c>
    </row>
    <row r="20" spans="1:29" x14ac:dyDescent="0.35">
      <c r="A20" s="310">
        <v>28</v>
      </c>
      <c r="B20" s="211" t="s">
        <v>234</v>
      </c>
      <c r="C20" s="234">
        <v>1.1364939999999999</v>
      </c>
      <c r="D20" s="234">
        <v>1.1470089999999999</v>
      </c>
      <c r="E20" s="234">
        <v>1.155424</v>
      </c>
      <c r="F20" s="234">
        <v>1.1643920000000001</v>
      </c>
      <c r="G20" s="234">
        <v>1.17353</v>
      </c>
      <c r="H20" s="234">
        <v>1.1825810000000001</v>
      </c>
      <c r="I20" s="234">
        <v>1.1908069999999999</v>
      </c>
      <c r="J20" s="234">
        <v>1.199065</v>
      </c>
      <c r="K20" s="234">
        <v>1.207287</v>
      </c>
      <c r="L20" s="234">
        <v>1.215195</v>
      </c>
      <c r="M20" s="234">
        <v>1.2237629999999999</v>
      </c>
      <c r="N20" s="234">
        <v>1.2309000000000001</v>
      </c>
      <c r="O20" s="234">
        <v>1.2388509999999999</v>
      </c>
      <c r="P20" s="267">
        <v>0.11287882122749648</v>
      </c>
      <c r="Q20" s="267">
        <v>9.8539695081769851E-2</v>
      </c>
      <c r="R20" s="267">
        <v>9.3941603392419415E-2</v>
      </c>
      <c r="S20" s="267">
        <v>9.8347588267722941E-2</v>
      </c>
      <c r="T20" s="267">
        <v>9.6580223426436351E-2</v>
      </c>
      <c r="U20" s="267">
        <v>8.3828168461000052E-2</v>
      </c>
      <c r="V20" s="267">
        <v>8.3563475159055933E-2</v>
      </c>
      <c r="W20" s="267">
        <v>8.8533071719490319E-2</v>
      </c>
      <c r="X20" s="267">
        <v>7.6214426552280834E-2</v>
      </c>
      <c r="Y20" s="267">
        <v>8.5013064069559663E-2</v>
      </c>
      <c r="Z20" s="267">
        <v>7.7631095225885627E-2</v>
      </c>
      <c r="AA20" s="267">
        <v>7.2766331985692601E-2</v>
      </c>
      <c r="AB20" s="268">
        <v>0.11287882122749648</v>
      </c>
      <c r="AC20" s="268">
        <v>7.2766331985692601E-2</v>
      </c>
    </row>
    <row r="21" spans="1:29" x14ac:dyDescent="0.35">
      <c r="A21" s="310">
        <v>29</v>
      </c>
      <c r="B21" s="211" t="s">
        <v>156</v>
      </c>
      <c r="C21" s="234">
        <v>0.930558</v>
      </c>
      <c r="D21" s="234">
        <v>0.93861499999999998</v>
      </c>
      <c r="E21" s="234">
        <v>0.94504699999999997</v>
      </c>
      <c r="F21" s="234">
        <v>0.95189299999999999</v>
      </c>
      <c r="G21" s="234">
        <v>0.95883600000000002</v>
      </c>
      <c r="H21" s="234">
        <v>0.96570100000000003</v>
      </c>
      <c r="I21" s="234">
        <v>0.97192100000000003</v>
      </c>
      <c r="J21" s="234">
        <v>0.97813000000000005</v>
      </c>
      <c r="K21" s="234">
        <v>0.98430399999999996</v>
      </c>
      <c r="L21" s="234">
        <v>0.99023099999999997</v>
      </c>
      <c r="M21" s="234">
        <v>0.99663900000000005</v>
      </c>
      <c r="N21" s="234">
        <v>1.001962</v>
      </c>
      <c r="O21" s="234">
        <v>1.0078640000000001</v>
      </c>
      <c r="P21" s="267">
        <v>0.10529756274303481</v>
      </c>
      <c r="Q21" s="267">
        <v>9.177519735103945E-2</v>
      </c>
      <c r="R21" s="267">
        <v>8.7434886945178869E-2</v>
      </c>
      <c r="S21" s="267">
        <v>9.1124682696328341E-2</v>
      </c>
      <c r="T21" s="267">
        <v>8.9382001573837355E-2</v>
      </c>
      <c r="U21" s="267">
        <v>7.74077153094197E-2</v>
      </c>
      <c r="V21" s="267">
        <v>7.6754760017960777E-2</v>
      </c>
      <c r="W21" s="267">
        <v>8.1241755779273284E-2</v>
      </c>
      <c r="X21" s="267">
        <v>6.9871865221042828E-2</v>
      </c>
      <c r="Y21" s="267">
        <v>7.7784461656234427E-2</v>
      </c>
      <c r="Z21" s="267">
        <v>7.0886317446632097E-2</v>
      </c>
      <c r="AA21" s="267">
        <v>6.6167944200469897E-2</v>
      </c>
      <c r="AB21" s="268">
        <v>0.10529756274303481</v>
      </c>
      <c r="AC21" s="268">
        <v>6.6167944200469897E-2</v>
      </c>
    </row>
    <row r="22" spans="1:29" x14ac:dyDescent="0.35">
      <c r="A22" s="310">
        <v>30</v>
      </c>
      <c r="B22" s="211" t="s">
        <v>157</v>
      </c>
      <c r="C22" s="234">
        <v>0.88852500000000001</v>
      </c>
      <c r="D22" s="234">
        <v>0.89546599999999998</v>
      </c>
      <c r="E22" s="234">
        <v>0.90099899999999999</v>
      </c>
      <c r="F22" s="234">
        <v>0.90686800000000001</v>
      </c>
      <c r="G22" s="234">
        <v>0.91276900000000005</v>
      </c>
      <c r="H22" s="234">
        <v>0.91858700000000004</v>
      </c>
      <c r="I22" s="234">
        <v>0.92382500000000001</v>
      </c>
      <c r="J22" s="234">
        <v>0.92896999999999996</v>
      </c>
      <c r="K22" s="234">
        <v>0.93406699999999998</v>
      </c>
      <c r="L22" s="234">
        <v>0.93894100000000003</v>
      </c>
      <c r="M22" s="234">
        <v>0.94418100000000005</v>
      </c>
      <c r="N22" s="234">
        <v>0.94851200000000002</v>
      </c>
      <c r="O22" s="234">
        <v>0.95328400000000002</v>
      </c>
      <c r="P22" s="267">
        <v>9.4574214504673293E-2</v>
      </c>
      <c r="Q22" s="267">
        <v>8.24193172689347E-2</v>
      </c>
      <c r="R22" s="267">
        <v>7.8315131404653959E-2</v>
      </c>
      <c r="S22" s="267">
        <v>8.0940159896403685E-2</v>
      </c>
      <c r="T22" s="267">
        <v>7.9227383468126522E-2</v>
      </c>
      <c r="U22" s="267">
        <v>6.8260293774718095E-2</v>
      </c>
      <c r="V22" s="267">
        <v>6.6620859854894743E-2</v>
      </c>
      <c r="W22" s="267">
        <v>7.0284881509024233E-2</v>
      </c>
      <c r="X22" s="267">
        <v>6.0298355419821981E-2</v>
      </c>
      <c r="Y22" s="267">
        <v>6.6762755925578343E-2</v>
      </c>
      <c r="Z22" s="267">
        <v>6.060704870584166E-2</v>
      </c>
      <c r="AA22" s="267">
        <v>5.6272764162132782E-2</v>
      </c>
      <c r="AB22" s="268">
        <v>9.4574214504673293E-2</v>
      </c>
      <c r="AC22" s="268">
        <v>5.6272764162132782E-2</v>
      </c>
    </row>
    <row r="23" spans="1:29" x14ac:dyDescent="0.35">
      <c r="A23" s="310">
        <v>31</v>
      </c>
      <c r="B23" s="211" t="s">
        <v>10</v>
      </c>
      <c r="C23" s="234">
        <v>0.87813699999999995</v>
      </c>
      <c r="D23" s="234">
        <v>0.88432699999999997</v>
      </c>
      <c r="E23" s="234">
        <v>0.88922500000000004</v>
      </c>
      <c r="F23" s="234">
        <v>0.89441000000000004</v>
      </c>
      <c r="G23" s="234">
        <v>0.89958199999999999</v>
      </c>
      <c r="H23" s="234">
        <v>0.90466400000000002</v>
      </c>
      <c r="I23" s="234">
        <v>0.90921300000000005</v>
      </c>
      <c r="J23" s="234">
        <v>0.91364800000000002</v>
      </c>
      <c r="K23" s="234">
        <v>0.91803500000000005</v>
      </c>
      <c r="L23" s="234">
        <v>0.92222000000000004</v>
      </c>
      <c r="M23" s="234">
        <v>0.92670300000000005</v>
      </c>
      <c r="N23" s="234">
        <v>0.93038900000000002</v>
      </c>
      <c r="O23" s="234">
        <v>0.93441600000000002</v>
      </c>
      <c r="P23" s="267">
        <v>8.4991715616550279E-2</v>
      </c>
      <c r="Q23" s="267">
        <v>7.35973880319718E-2</v>
      </c>
      <c r="R23" s="267">
        <v>6.9848723609049035E-2</v>
      </c>
      <c r="S23" s="267">
        <v>7.164101841817061E-2</v>
      </c>
      <c r="T23" s="267">
        <v>6.9938014709994833E-2</v>
      </c>
      <c r="U23" s="267">
        <v>5.9977666725129053E-2</v>
      </c>
      <c r="V23" s="267">
        <v>5.813532682532685E-2</v>
      </c>
      <c r="W23" s="267">
        <v>6.1267340888125688E-2</v>
      </c>
      <c r="X23" s="267">
        <v>5.2499981193664391E-2</v>
      </c>
      <c r="Y23" s="267">
        <v>5.7930533663637984E-2</v>
      </c>
      <c r="Z23" s="267">
        <v>5.2363290381566729E-2</v>
      </c>
      <c r="AA23" s="267">
        <v>4.8243487197817014E-2</v>
      </c>
      <c r="AB23" s="268">
        <v>8.4991715616550279E-2</v>
      </c>
      <c r="AC23" s="268">
        <v>4.8243487197817014E-2</v>
      </c>
    </row>
    <row r="24" spans="1:29" x14ac:dyDescent="0.35">
      <c r="A24" s="310">
        <v>32</v>
      </c>
      <c r="B24" s="211" t="s">
        <v>11</v>
      </c>
      <c r="C24" s="234">
        <v>1.0166770000000001</v>
      </c>
      <c r="D24" s="234">
        <v>1.0247059999999999</v>
      </c>
      <c r="E24" s="234">
        <v>1.031091</v>
      </c>
      <c r="F24" s="234">
        <v>1.037871</v>
      </c>
      <c r="G24" s="234">
        <v>1.044699</v>
      </c>
      <c r="H24" s="234">
        <v>1.0514319999999999</v>
      </c>
      <c r="I24" s="234">
        <v>1.057501</v>
      </c>
      <c r="J24" s="234">
        <v>1.0634999999999999</v>
      </c>
      <c r="K24" s="234">
        <v>1.0694520000000001</v>
      </c>
      <c r="L24" s="234">
        <v>1.075151</v>
      </c>
      <c r="M24" s="234">
        <v>1.0812889999999999</v>
      </c>
      <c r="N24" s="234">
        <v>1.0863659999999999</v>
      </c>
      <c r="O24" s="234">
        <v>1.0919620000000001</v>
      </c>
      <c r="P24" s="267">
        <v>9.5652751705769479E-2</v>
      </c>
      <c r="Q24" s="267">
        <v>8.3140841596221593E-2</v>
      </c>
      <c r="R24" s="267">
        <v>7.9082744456419718E-2</v>
      </c>
      <c r="S24" s="267">
        <v>8.1866373231637812E-2</v>
      </c>
      <c r="T24" s="267">
        <v>8.0140220837708442E-2</v>
      </c>
      <c r="U24" s="267">
        <v>6.9122745209999836E-2</v>
      </c>
      <c r="V24" s="267">
        <v>6.7897344539804116E-2</v>
      </c>
      <c r="W24" s="267">
        <v>7.1737892392856883E-2</v>
      </c>
      <c r="X24" s="267">
        <v>6.1614568604122733E-2</v>
      </c>
      <c r="Y24" s="267">
        <v>6.8343305400639043E-2</v>
      </c>
      <c r="Z24" s="267">
        <v>6.2077762499754385E-2</v>
      </c>
      <c r="AA24" s="267">
        <v>5.7650336568379146E-2</v>
      </c>
      <c r="AB24" s="268">
        <v>9.5652751705769479E-2</v>
      </c>
      <c r="AC24" s="268">
        <v>5.7650336568379146E-2</v>
      </c>
    </row>
    <row r="25" spans="1:29" x14ac:dyDescent="0.35">
      <c r="A25" s="310">
        <v>33</v>
      </c>
      <c r="B25" s="211" t="s">
        <v>158</v>
      </c>
      <c r="C25" s="234">
        <v>0.92877900000000002</v>
      </c>
      <c r="D25" s="234">
        <v>0.93591599999999997</v>
      </c>
      <c r="E25" s="234">
        <v>0.94160600000000005</v>
      </c>
      <c r="F25" s="234">
        <v>0.947627</v>
      </c>
      <c r="G25" s="234">
        <v>0.95367100000000005</v>
      </c>
      <c r="H25" s="234">
        <v>0.95963399999999999</v>
      </c>
      <c r="I25" s="234">
        <v>0.96499199999999996</v>
      </c>
      <c r="J25" s="234">
        <v>0.97023499999999996</v>
      </c>
      <c r="K25" s="234">
        <v>0.97543299999999999</v>
      </c>
      <c r="L25" s="234">
        <v>0.98040400000000005</v>
      </c>
      <c r="M25" s="234">
        <v>0.98574700000000004</v>
      </c>
      <c r="N25" s="234">
        <v>0.99015900000000001</v>
      </c>
      <c r="O25" s="234">
        <v>0.99501099999999998</v>
      </c>
      <c r="P25" s="267">
        <v>9.296666730788461E-2</v>
      </c>
      <c r="Q25" s="267">
        <v>8.1046662710197115E-2</v>
      </c>
      <c r="R25" s="267">
        <v>7.6829497457384877E-2</v>
      </c>
      <c r="S25" s="267">
        <v>7.9279188096933462E-2</v>
      </c>
      <c r="T25" s="267">
        <v>7.7667046314469079E-2</v>
      </c>
      <c r="U25" s="267">
        <v>6.6795074295126211E-2</v>
      </c>
      <c r="V25" s="267">
        <v>6.4946438134982465E-2</v>
      </c>
      <c r="W25" s="267">
        <v>6.8578159715341869E-2</v>
      </c>
      <c r="X25" s="267">
        <v>5.8853413336406035E-2</v>
      </c>
      <c r="Y25" s="267">
        <v>6.5150499391424033E-2</v>
      </c>
      <c r="Z25" s="267">
        <v>5.9097909895409639E-2</v>
      </c>
      <c r="AA25" s="267">
        <v>5.4773898738922577E-2</v>
      </c>
      <c r="AB25" s="268">
        <v>9.296666730788461E-2</v>
      </c>
      <c r="AC25" s="268">
        <v>5.4773898738922577E-2</v>
      </c>
    </row>
    <row r="26" spans="1:29" x14ac:dyDescent="0.35">
      <c r="A26" s="310">
        <v>34</v>
      </c>
      <c r="B26" s="211" t="s">
        <v>235</v>
      </c>
      <c r="C26" s="234">
        <v>1.1736219999999999</v>
      </c>
      <c r="D26" s="234">
        <v>1.1664019999999999</v>
      </c>
      <c r="E26" s="234">
        <v>1.1643950000000001</v>
      </c>
      <c r="F26" s="234">
        <v>1.1610069999999999</v>
      </c>
      <c r="G26" s="234">
        <v>1.1183380000000001</v>
      </c>
      <c r="H26" s="234">
        <v>1.106571</v>
      </c>
      <c r="I26" s="234">
        <v>1.0743799999999999</v>
      </c>
      <c r="J26" s="234">
        <v>1.081545</v>
      </c>
      <c r="K26" s="234">
        <v>1.074446</v>
      </c>
      <c r="L26" s="234">
        <v>1.05718</v>
      </c>
      <c r="M26" s="234">
        <v>1.075081</v>
      </c>
      <c r="N26" s="234">
        <v>1.0617000000000001</v>
      </c>
      <c r="O26" s="234">
        <v>1.0473220000000001</v>
      </c>
      <c r="P26" s="267">
        <v>-6.9154553396867602E-2</v>
      </c>
      <c r="Q26" s="267">
        <v>-2.1898697516574472E-2</v>
      </c>
      <c r="R26" s="267">
        <v>-3.3272785692503581E-2</v>
      </c>
      <c r="S26" s="267">
        <v>-0.36194381057385383</v>
      </c>
      <c r="T26" s="267">
        <v>-0.11920583529643336</v>
      </c>
      <c r="U26" s="267">
        <v>-0.29024791080240142</v>
      </c>
      <c r="V26" s="267">
        <v>8.0246133987234236E-2</v>
      </c>
      <c r="W26" s="267">
        <v>-7.8497441148220104E-2</v>
      </c>
      <c r="X26" s="267">
        <v>-0.16660885492333877</v>
      </c>
      <c r="Y26" s="267">
        <v>0.21530188682366203</v>
      </c>
      <c r="Z26" s="267">
        <v>-0.14873406907794151</v>
      </c>
      <c r="AA26" s="267">
        <v>-0.13821123903925814</v>
      </c>
      <c r="AB26" s="268">
        <v>0.21530188682366203</v>
      </c>
      <c r="AC26" s="268">
        <v>-0.36194381057385383</v>
      </c>
    </row>
    <row r="27" spans="1:29" x14ac:dyDescent="0.35">
      <c r="A27" s="310">
        <v>35</v>
      </c>
      <c r="B27" s="211" t="s">
        <v>12</v>
      </c>
      <c r="C27" s="234">
        <v>1.2869980000000001</v>
      </c>
      <c r="D27" s="234">
        <v>1.2792209999999999</v>
      </c>
      <c r="E27" s="234">
        <v>1.2771239999999999</v>
      </c>
      <c r="F27" s="234">
        <v>1.2735540000000001</v>
      </c>
      <c r="G27" s="234">
        <v>1.2269049999999999</v>
      </c>
      <c r="H27" s="234">
        <v>1.2141649999999999</v>
      </c>
      <c r="I27" s="234">
        <v>1.1789860000000001</v>
      </c>
      <c r="J27" s="234">
        <v>1.1870050000000001</v>
      </c>
      <c r="K27" s="234">
        <v>1.1793709999999999</v>
      </c>
      <c r="L27" s="234">
        <v>1.1605780000000001</v>
      </c>
      <c r="M27" s="234">
        <v>1.1804479999999999</v>
      </c>
      <c r="N27" s="234">
        <v>1.1659349999999999</v>
      </c>
      <c r="O27" s="234">
        <v>1.1503570000000001</v>
      </c>
      <c r="P27" s="267">
        <v>-6.796665358908216E-2</v>
      </c>
      <c r="Q27" s="267">
        <v>-2.0872820225269928E-2</v>
      </c>
      <c r="R27" s="267">
        <v>-3.1984817175379932E-2</v>
      </c>
      <c r="S27" s="267">
        <v>-0.36096761872167504</v>
      </c>
      <c r="T27" s="267">
        <v>-0.11773047398558767</v>
      </c>
      <c r="U27" s="267">
        <v>-0.28925449094272526</v>
      </c>
      <c r="V27" s="267">
        <v>8.1900269752282151E-2</v>
      </c>
      <c r="W27" s="267">
        <v>-7.6971175784668278E-2</v>
      </c>
      <c r="X27" s="267">
        <v>-0.16532240881952853</v>
      </c>
      <c r="Y27" s="267">
        <v>0.2179134918111838</v>
      </c>
      <c r="Z27" s="267">
        <v>-0.14704773355133094</v>
      </c>
      <c r="AA27" s="267">
        <v>-0.13648007291875974</v>
      </c>
      <c r="AB27" s="268">
        <v>0.2179134918111838</v>
      </c>
      <c r="AC27" s="268">
        <v>-0.36096761872167504</v>
      </c>
    </row>
    <row r="28" spans="1:29" x14ac:dyDescent="0.35">
      <c r="A28" s="310">
        <v>36</v>
      </c>
      <c r="B28" s="211" t="s">
        <v>13</v>
      </c>
      <c r="C28" s="234">
        <v>1.1733340000000001</v>
      </c>
      <c r="D28" s="234">
        <v>1.1661159999999999</v>
      </c>
      <c r="E28" s="234">
        <v>1.1641090000000001</v>
      </c>
      <c r="F28" s="234">
        <v>1.160722</v>
      </c>
      <c r="G28" s="234">
        <v>1.1180639999999999</v>
      </c>
      <c r="H28" s="234">
        <v>1.1063000000000001</v>
      </c>
      <c r="I28" s="234">
        <v>1.0741160000000001</v>
      </c>
      <c r="J28" s="234">
        <v>1.08128</v>
      </c>
      <c r="K28" s="234">
        <v>1.074182</v>
      </c>
      <c r="L28" s="234">
        <v>1.056921</v>
      </c>
      <c r="M28" s="234">
        <v>1.0748169999999999</v>
      </c>
      <c r="N28" s="234">
        <v>1.061439</v>
      </c>
      <c r="O28" s="234">
        <v>1.047064</v>
      </c>
      <c r="P28" s="267">
        <v>-6.9152437494130692E-2</v>
      </c>
      <c r="Q28" s="267">
        <v>-2.1904013682624512E-2</v>
      </c>
      <c r="R28" s="267">
        <v>-3.3271162383619934E-2</v>
      </c>
      <c r="S28" s="267">
        <v>-0.36194021007182742</v>
      </c>
      <c r="T28" s="267">
        <v>-0.11920471739472316</v>
      </c>
      <c r="U28" s="267">
        <v>-0.2902546911007795</v>
      </c>
      <c r="V28" s="267">
        <v>8.0254958426083434E-2</v>
      </c>
      <c r="W28" s="267">
        <v>-7.8505315199598025E-2</v>
      </c>
      <c r="X28" s="267">
        <v>-0.16660213438912241</v>
      </c>
      <c r="Y28" s="267">
        <v>0.21529381918352763</v>
      </c>
      <c r="Z28" s="267">
        <v>-0.1487370168451565</v>
      </c>
      <c r="AA28" s="267">
        <v>-0.13821603884068923</v>
      </c>
      <c r="AB28" s="268">
        <v>0.21529381918352763</v>
      </c>
      <c r="AC28" s="268">
        <v>-0.36194021007182742</v>
      </c>
    </row>
    <row r="29" spans="1:29" x14ac:dyDescent="0.35">
      <c r="A29" s="310">
        <v>37</v>
      </c>
      <c r="B29" s="211" t="s">
        <v>236</v>
      </c>
      <c r="C29" s="234">
        <v>1.392638</v>
      </c>
      <c r="D29" s="234">
        <v>1.3857470000000001</v>
      </c>
      <c r="E29" s="234">
        <v>1.384727</v>
      </c>
      <c r="F29" s="234">
        <v>1.382193</v>
      </c>
      <c r="G29" s="234">
        <v>1.3329409999999999</v>
      </c>
      <c r="H29" s="234">
        <v>1.320452</v>
      </c>
      <c r="I29" s="234">
        <v>1.2834319999999999</v>
      </c>
      <c r="J29" s="234">
        <v>1.2934939999999999</v>
      </c>
      <c r="K29" s="234">
        <v>1.2865009999999999</v>
      </c>
      <c r="L29" s="234">
        <v>1.2672669999999999</v>
      </c>
      <c r="M29" s="234">
        <v>1.2903800000000001</v>
      </c>
      <c r="N29" s="234">
        <v>1.2757050000000001</v>
      </c>
      <c r="O29" s="234">
        <v>1.26</v>
      </c>
      <c r="P29" s="267">
        <v>-5.5977404551099008E-2</v>
      </c>
      <c r="Q29" s="267">
        <v>-9.4225061110123631E-3</v>
      </c>
      <c r="R29" s="267">
        <v>-2.1046033356491356E-2</v>
      </c>
      <c r="S29" s="267">
        <v>-0.35299617296068664</v>
      </c>
      <c r="T29" s="267">
        <v>-0.10681729583066835</v>
      </c>
      <c r="U29" s="267">
        <v>-0.2812406836221587</v>
      </c>
      <c r="V29" s="267">
        <v>9.4928603848941417E-2</v>
      </c>
      <c r="W29" s="267">
        <v>-6.5080268038115063E-2</v>
      </c>
      <c r="X29" s="267">
        <v>-0.15588333475806382</v>
      </c>
      <c r="Y29" s="267">
        <v>0.23354629322833498</v>
      </c>
      <c r="Z29" s="267">
        <v>-0.13675539542989901</v>
      </c>
      <c r="AA29" s="267">
        <v>-0.12640080268183296</v>
      </c>
      <c r="AB29" s="268">
        <v>0.23354629322833498</v>
      </c>
      <c r="AC29" s="268">
        <v>-0.35299617296068664</v>
      </c>
    </row>
    <row r="30" spans="1:29" x14ac:dyDescent="0.35">
      <c r="A30" s="310">
        <v>38</v>
      </c>
      <c r="B30" s="211" t="s">
        <v>161</v>
      </c>
      <c r="C30" s="234">
        <v>1.2500640000000001</v>
      </c>
      <c r="D30" s="234">
        <v>1.2434909999999999</v>
      </c>
      <c r="E30" s="234">
        <v>1.2422629999999999</v>
      </c>
      <c r="F30" s="234">
        <v>1.239628</v>
      </c>
      <c r="G30" s="234">
        <v>1.1950799999999999</v>
      </c>
      <c r="H30" s="234">
        <v>1.1835059999999999</v>
      </c>
      <c r="I30" s="234">
        <v>1.1499870000000001</v>
      </c>
      <c r="J30" s="234">
        <v>1.158636</v>
      </c>
      <c r="K30" s="234">
        <v>1.1520049999999999</v>
      </c>
      <c r="L30" s="234">
        <v>1.134422</v>
      </c>
      <c r="M30" s="234">
        <v>1.154674</v>
      </c>
      <c r="N30" s="234">
        <v>1.1411770000000001</v>
      </c>
      <c r="O30" s="234">
        <v>1.1267100000000001</v>
      </c>
      <c r="P30" s="267">
        <v>-5.9386789995606648E-2</v>
      </c>
      <c r="Q30" s="267">
        <v>-1.2622900692213723E-2</v>
      </c>
      <c r="R30" s="267">
        <v>-2.4357086103715009E-2</v>
      </c>
      <c r="S30" s="267">
        <v>-0.35543426647741916</v>
      </c>
      <c r="T30" s="267">
        <v>-0.11022166491785801</v>
      </c>
      <c r="U30" s="267">
        <v>-0.28369230660239841</v>
      </c>
      <c r="V30" s="267">
        <v>9.0911204870429474E-2</v>
      </c>
      <c r="W30" s="267">
        <v>-6.8770543170535992E-2</v>
      </c>
      <c r="X30" s="267">
        <v>-0.15888939764747811</v>
      </c>
      <c r="Y30" s="267">
        <v>0.22812399995022825</v>
      </c>
      <c r="Z30" s="267">
        <v>-0.14030067870214347</v>
      </c>
      <c r="AA30" s="267">
        <v>-0.12992990490755996</v>
      </c>
      <c r="AB30" s="268">
        <v>0.22812399995022825</v>
      </c>
      <c r="AC30" s="268">
        <v>-0.35543426647741916</v>
      </c>
    </row>
    <row r="31" spans="1:29" x14ac:dyDescent="0.35">
      <c r="A31" s="310">
        <v>39</v>
      </c>
      <c r="B31" s="211" t="s">
        <v>160</v>
      </c>
      <c r="C31" s="234">
        <v>1.173581</v>
      </c>
      <c r="D31" s="234">
        <v>1.1664030000000001</v>
      </c>
      <c r="E31" s="234">
        <v>1.164428</v>
      </c>
      <c r="F31" s="234">
        <v>1.1611020000000001</v>
      </c>
      <c r="G31" s="234">
        <v>1.1185</v>
      </c>
      <c r="H31" s="234">
        <v>1.106803</v>
      </c>
      <c r="I31" s="234">
        <v>1.0746690000000001</v>
      </c>
      <c r="J31" s="234">
        <v>1.081907</v>
      </c>
      <c r="K31" s="234">
        <v>1.0748759999999999</v>
      </c>
      <c r="L31" s="234">
        <v>1.057674</v>
      </c>
      <c r="M31" s="234">
        <v>1.075663</v>
      </c>
      <c r="N31" s="234">
        <v>1.062341</v>
      </c>
      <c r="O31" s="234">
        <v>1.0480290000000001</v>
      </c>
      <c r="P31" s="267">
        <v>-6.876756218995439E-2</v>
      </c>
      <c r="Q31" s="267">
        <v>-2.1553019551250996E-2</v>
      </c>
      <c r="R31" s="267">
        <v>-3.2672186668676217E-2</v>
      </c>
      <c r="S31" s="267">
        <v>-0.36146106497304609</v>
      </c>
      <c r="T31" s="267">
        <v>-0.11852079690233885</v>
      </c>
      <c r="U31" s="267">
        <v>-0.28975879801264015</v>
      </c>
      <c r="V31" s="267">
        <v>8.1070568500350104E-2</v>
      </c>
      <c r="W31" s="267">
        <v>-7.7748136397754242E-2</v>
      </c>
      <c r="X31" s="267">
        <v>-0.16598002213657514</v>
      </c>
      <c r="Y31" s="267">
        <v>0.2163472245858904</v>
      </c>
      <c r="Z31" s="267">
        <v>-0.14805129174419462</v>
      </c>
      <c r="AA31" s="267">
        <v>-0.13754103235758863</v>
      </c>
      <c r="AB31" s="268">
        <v>0.2163472245858904</v>
      </c>
      <c r="AC31" s="268">
        <v>-0.36146106497304609</v>
      </c>
    </row>
    <row r="32" spans="1:29" x14ac:dyDescent="0.35">
      <c r="A32" s="310">
        <v>40</v>
      </c>
      <c r="B32" s="211" t="s">
        <v>14</v>
      </c>
      <c r="C32" s="234">
        <v>1.189567</v>
      </c>
      <c r="D32" s="234">
        <v>1.1822509999999999</v>
      </c>
      <c r="E32" s="234">
        <v>1.180218</v>
      </c>
      <c r="F32" s="234">
        <v>1.1767860000000001</v>
      </c>
      <c r="G32" s="234">
        <v>1.1335390000000001</v>
      </c>
      <c r="H32" s="234">
        <v>1.1216140000000001</v>
      </c>
      <c r="I32" s="234">
        <v>1.0889869999999999</v>
      </c>
      <c r="J32" s="234">
        <v>1.096252</v>
      </c>
      <c r="K32" s="234">
        <v>1.0890569999999999</v>
      </c>
      <c r="L32" s="234">
        <v>1.0715589999999999</v>
      </c>
      <c r="M32" s="234">
        <v>1.0897049999999999</v>
      </c>
      <c r="N32" s="234">
        <v>1.0761449999999999</v>
      </c>
      <c r="O32" s="234">
        <v>1.061574</v>
      </c>
      <c r="P32" s="267">
        <v>-6.9135425375301374E-2</v>
      </c>
      <c r="Q32" s="267">
        <v>-2.1885154571315679E-2</v>
      </c>
      <c r="R32" s="267">
        <v>-3.3253327385671549E-2</v>
      </c>
      <c r="S32" s="267">
        <v>-0.36193094055007935</v>
      </c>
      <c r="T32" s="267">
        <v>-0.11918752664240007</v>
      </c>
      <c r="U32" s="267">
        <v>-0.29023570666829401</v>
      </c>
      <c r="V32" s="267">
        <v>8.027573223483464E-2</v>
      </c>
      <c r="W32" s="267">
        <v>-7.8491840518151168E-2</v>
      </c>
      <c r="X32" s="267">
        <v>-0.16658440789035844</v>
      </c>
      <c r="Y32" s="267">
        <v>0.21532161851365283</v>
      </c>
      <c r="Z32" s="267">
        <v>-0.14870337745705819</v>
      </c>
      <c r="AA32" s="267">
        <v>-0.13818803209404684</v>
      </c>
      <c r="AB32" s="268">
        <v>0.21532161851365283</v>
      </c>
      <c r="AC32" s="268">
        <v>-0.36193094055007935</v>
      </c>
    </row>
    <row r="33" spans="1:29" x14ac:dyDescent="0.35">
      <c r="A33" s="310">
        <v>41</v>
      </c>
      <c r="B33" s="211" t="s">
        <v>159</v>
      </c>
      <c r="C33" s="234">
        <v>1.1898679999999999</v>
      </c>
      <c r="D33" s="234">
        <v>1.182588</v>
      </c>
      <c r="E33" s="234">
        <v>1.1805810000000001</v>
      </c>
      <c r="F33" s="234">
        <v>1.177203</v>
      </c>
      <c r="G33" s="234">
        <v>1.134004</v>
      </c>
      <c r="H33" s="234">
        <v>1.1221289999999999</v>
      </c>
      <c r="I33" s="234">
        <v>1.0895269999999999</v>
      </c>
      <c r="J33" s="234">
        <v>1.0968500000000001</v>
      </c>
      <c r="K33" s="234">
        <v>1.0897019999999999</v>
      </c>
      <c r="L33" s="234">
        <v>1.072249</v>
      </c>
      <c r="M33" s="234">
        <v>1.0904739999999999</v>
      </c>
      <c r="N33" s="234">
        <v>1.0769550000000001</v>
      </c>
      <c r="O33" s="234">
        <v>1.062452</v>
      </c>
      <c r="P33" s="267">
        <v>-6.8789357680001606E-2</v>
      </c>
      <c r="Q33" s="267">
        <v>-2.1601980701798196E-2</v>
      </c>
      <c r="R33" s="267">
        <v>-3.2728119081295914E-2</v>
      </c>
      <c r="S33" s="267">
        <v>-0.36150321444546274</v>
      </c>
      <c r="T33" s="267">
        <v>-0.1186703153018368</v>
      </c>
      <c r="U33" s="267">
        <v>-0.28993317476906977</v>
      </c>
      <c r="V33" s="267">
        <v>8.0898093837927787E-2</v>
      </c>
      <c r="W33" s="267">
        <v>-7.7957077069485958E-2</v>
      </c>
      <c r="X33" s="267">
        <v>-0.16610014887487945</v>
      </c>
      <c r="Y33" s="267">
        <v>0.2161931843948004</v>
      </c>
      <c r="Z33" s="267">
        <v>-0.14818926813014754</v>
      </c>
      <c r="AA33" s="267">
        <v>-0.13748894414515189</v>
      </c>
      <c r="AB33" s="268">
        <v>0.2161931843948004</v>
      </c>
      <c r="AC33" s="268">
        <v>-0.36150321444546274</v>
      </c>
    </row>
    <row r="34" spans="1:29" x14ac:dyDescent="0.35">
      <c r="A34" s="310">
        <v>42</v>
      </c>
      <c r="B34" s="211" t="s">
        <v>237</v>
      </c>
      <c r="C34" s="234">
        <v>1.7115130000000001</v>
      </c>
      <c r="D34" s="234">
        <v>1.7252110000000001</v>
      </c>
      <c r="E34" s="234">
        <v>1.736432</v>
      </c>
      <c r="F34" s="234">
        <v>1.7482120000000001</v>
      </c>
      <c r="G34" s="234">
        <v>1.7596989999999999</v>
      </c>
      <c r="H34" s="234">
        <v>1.7714570000000001</v>
      </c>
      <c r="I34" s="234">
        <v>1.7817540000000001</v>
      </c>
      <c r="J34" s="234">
        <v>1.7919780000000001</v>
      </c>
      <c r="K34" s="234">
        <v>1.802206</v>
      </c>
      <c r="L34" s="234">
        <v>1.811895</v>
      </c>
      <c r="M34" s="234">
        <v>1.8223849999999999</v>
      </c>
      <c r="N34" s="234">
        <v>1.830951</v>
      </c>
      <c r="O34" s="234">
        <v>1.840387</v>
      </c>
      <c r="P34" s="267">
        <v>9.6993516211071107E-2</v>
      </c>
      <c r="Q34" s="267">
        <v>8.6926267521734824E-2</v>
      </c>
      <c r="R34" s="267">
        <v>8.1680889740956664E-2</v>
      </c>
      <c r="S34" s="267">
        <v>8.1761406152722316E-2</v>
      </c>
      <c r="T34" s="267">
        <v>8.3195210350771154E-2</v>
      </c>
      <c r="U34" s="267">
        <v>6.9624050854828257E-2</v>
      </c>
      <c r="V34" s="267">
        <v>6.8703580453044477E-2</v>
      </c>
      <c r="W34" s="267">
        <v>7.3207968035798432E-2</v>
      </c>
      <c r="X34" s="267">
        <v>6.2176520852954109E-2</v>
      </c>
      <c r="Y34" s="267">
        <v>6.933744319706614E-2</v>
      </c>
      <c r="Z34" s="267">
        <v>6.214724146806816E-2</v>
      </c>
      <c r="AA34" s="267">
        <v>5.7678890251222859E-2</v>
      </c>
      <c r="AB34" s="268">
        <v>9.6993516211071107E-2</v>
      </c>
      <c r="AC34" s="268">
        <v>5.7678890251222859E-2</v>
      </c>
    </row>
    <row r="35" spans="1:29" x14ac:dyDescent="0.35">
      <c r="A35" s="310">
        <v>43</v>
      </c>
      <c r="B35" s="211" t="s">
        <v>162</v>
      </c>
      <c r="C35" s="234">
        <v>1.7439210000000001</v>
      </c>
      <c r="D35" s="234">
        <v>1.7590939999999999</v>
      </c>
      <c r="E35" s="234">
        <v>1.7715399999999999</v>
      </c>
      <c r="F35" s="234">
        <v>1.784648</v>
      </c>
      <c r="G35" s="234">
        <v>1.797547</v>
      </c>
      <c r="H35" s="234">
        <v>1.8107390000000001</v>
      </c>
      <c r="I35" s="234">
        <v>1.8223750000000001</v>
      </c>
      <c r="J35" s="234">
        <v>1.834028</v>
      </c>
      <c r="K35" s="234">
        <v>1.8456999999999999</v>
      </c>
      <c r="L35" s="234">
        <v>1.8567959999999999</v>
      </c>
      <c r="M35" s="234">
        <v>1.8688439999999999</v>
      </c>
      <c r="N35" s="234">
        <v>1.878735</v>
      </c>
      <c r="O35" s="234">
        <v>1.889707</v>
      </c>
      <c r="P35" s="267">
        <v>0.1058355000474589</v>
      </c>
      <c r="Q35" s="267">
        <v>9.4882426626872407E-2</v>
      </c>
      <c r="R35" s="267">
        <v>8.9381385193211482E-2</v>
      </c>
      <c r="S35" s="267">
        <v>9.0265374561210754E-2</v>
      </c>
      <c r="T35" s="267">
        <v>9.1709808144450289E-2</v>
      </c>
      <c r="U35" s="267">
        <v>7.7223597574710423E-2</v>
      </c>
      <c r="V35" s="267">
        <v>7.6829604939026019E-2</v>
      </c>
      <c r="W35" s="267">
        <v>8.1936738626680716E-2</v>
      </c>
      <c r="X35" s="267">
        <v>6.9755790780192672E-2</v>
      </c>
      <c r="Y35" s="267">
        <v>7.8000604086191805E-2</v>
      </c>
      <c r="Z35" s="267">
        <v>7.0224000739808501E-2</v>
      </c>
      <c r="AA35" s="267">
        <v>6.5585980714655046E-2</v>
      </c>
      <c r="AB35" s="268">
        <v>0.1058355000474589</v>
      </c>
      <c r="AC35" s="268">
        <v>6.5585980714655046E-2</v>
      </c>
    </row>
    <row r="36" spans="1:29" x14ac:dyDescent="0.35">
      <c r="A36" s="310">
        <v>44</v>
      </c>
      <c r="B36" s="211" t="s">
        <v>128</v>
      </c>
      <c r="C36" s="234">
        <v>1.5797410000000001</v>
      </c>
      <c r="D36" s="234">
        <v>1.5914919999999999</v>
      </c>
      <c r="E36" s="234">
        <v>1.6011089999999999</v>
      </c>
      <c r="F36" s="234">
        <v>1.6111759999999999</v>
      </c>
      <c r="G36" s="234">
        <v>1.6209089999999999</v>
      </c>
      <c r="H36" s="234">
        <v>1.630879</v>
      </c>
      <c r="I36" s="234">
        <v>1.6395489999999999</v>
      </c>
      <c r="J36" s="234">
        <v>1.6480859999999999</v>
      </c>
      <c r="K36" s="234">
        <v>1.6566179999999999</v>
      </c>
      <c r="L36" s="234">
        <v>1.6646730000000001</v>
      </c>
      <c r="M36" s="234">
        <v>1.673368</v>
      </c>
      <c r="N36" s="234">
        <v>1.680431</v>
      </c>
      <c r="O36" s="234">
        <v>1.688167</v>
      </c>
      <c r="P36" s="267">
        <v>8.9875632693737995E-2</v>
      </c>
      <c r="Q36" s="267">
        <v>8.0537710459111622E-2</v>
      </c>
      <c r="R36" s="267">
        <v>7.5502224448108501E-2</v>
      </c>
      <c r="S36" s="267">
        <v>7.4948840485575374E-2</v>
      </c>
      <c r="T36" s="267">
        <v>7.6359338137850674E-2</v>
      </c>
      <c r="U36" s="267">
        <v>6.3507528327804819E-2</v>
      </c>
      <c r="V36" s="267">
        <v>6.2166377030849151E-2</v>
      </c>
      <c r="W36" s="267">
        <v>6.6198338960456793E-2</v>
      </c>
      <c r="X36" s="267">
        <v>5.6084811741929697E-2</v>
      </c>
      <c r="Y36" s="267">
        <v>6.2366758426685598E-2</v>
      </c>
      <c r="Z36" s="267">
        <v>5.5646730424017132E-2</v>
      </c>
      <c r="AA36" s="267">
        <v>5.1382156203310547E-2</v>
      </c>
      <c r="AB36" s="268">
        <v>8.9875632693737995E-2</v>
      </c>
      <c r="AC36" s="268">
        <v>5.1382156203310547E-2</v>
      </c>
    </row>
    <row r="37" spans="1:29" x14ac:dyDescent="0.35">
      <c r="A37" s="310">
        <v>45</v>
      </c>
      <c r="B37" s="211" t="s">
        <v>130</v>
      </c>
      <c r="C37" s="234">
        <v>1.716863</v>
      </c>
      <c r="D37" s="234">
        <v>1.7306060000000001</v>
      </c>
      <c r="E37" s="234">
        <v>1.7418640000000001</v>
      </c>
      <c r="F37" s="234">
        <v>1.7536830000000001</v>
      </c>
      <c r="G37" s="234">
        <v>1.765209</v>
      </c>
      <c r="H37" s="234">
        <v>1.7770060000000001</v>
      </c>
      <c r="I37" s="234">
        <v>1.787337</v>
      </c>
      <c r="J37" s="234">
        <v>1.797596</v>
      </c>
      <c r="K37" s="234">
        <v>1.807858</v>
      </c>
      <c r="L37" s="234">
        <v>1.81758</v>
      </c>
      <c r="M37" s="234">
        <v>1.828104</v>
      </c>
      <c r="N37" s="234">
        <v>1.8367</v>
      </c>
      <c r="O37" s="234">
        <v>1.8461669999999999</v>
      </c>
      <c r="P37" s="267">
        <v>9.7009575237747114E-2</v>
      </c>
      <c r="Q37" s="267">
        <v>8.694159300891191E-2</v>
      </c>
      <c r="R37" s="267">
        <v>8.1696284150966303E-2</v>
      </c>
      <c r="S37" s="267">
        <v>8.1783847706867085E-2</v>
      </c>
      <c r="T37" s="267">
        <v>8.3211179635463539E-2</v>
      </c>
      <c r="U37" s="267">
        <v>6.9636179288674604E-2</v>
      </c>
      <c r="V37" s="267">
        <v>6.872404312334579E-2</v>
      </c>
      <c r="W37" s="267">
        <v>7.3222223018022614E-2</v>
      </c>
      <c r="X37" s="267">
        <v>6.2193705022159929E-2</v>
      </c>
      <c r="Y37" s="267">
        <v>6.9344824286581952E-2</v>
      </c>
      <c r="Z37" s="267">
        <v>6.2170426234586795E-2</v>
      </c>
      <c r="AA37" s="267">
        <v>5.7687464614876172E-2</v>
      </c>
      <c r="AB37" s="268">
        <v>9.7009575237747114E-2</v>
      </c>
      <c r="AC37" s="268">
        <v>5.7687464614876172E-2</v>
      </c>
    </row>
    <row r="38" spans="1:29" x14ac:dyDescent="0.35">
      <c r="A38" s="310">
        <v>46</v>
      </c>
      <c r="B38" s="211" t="s">
        <v>131</v>
      </c>
      <c r="C38" s="234">
        <v>1.790686</v>
      </c>
      <c r="D38" s="234">
        <v>1.805525</v>
      </c>
      <c r="E38" s="234">
        <v>1.8176870000000001</v>
      </c>
      <c r="F38" s="234">
        <v>1.830471</v>
      </c>
      <c r="G38" s="234">
        <v>1.8429869999999999</v>
      </c>
      <c r="H38" s="234">
        <v>1.855793</v>
      </c>
      <c r="I38" s="234">
        <v>1.8670420000000001</v>
      </c>
      <c r="J38" s="234">
        <v>1.878253</v>
      </c>
      <c r="K38" s="234">
        <v>1.8894740000000001</v>
      </c>
      <c r="L38" s="234">
        <v>1.90012</v>
      </c>
      <c r="M38" s="234">
        <v>1.9116599999999999</v>
      </c>
      <c r="N38" s="234">
        <v>1.921106</v>
      </c>
      <c r="O38" s="234">
        <v>1.9315359999999999</v>
      </c>
      <c r="P38" s="267">
        <v>0.10057953993078406</v>
      </c>
      <c r="Q38" s="267">
        <v>9.0149904150577553E-2</v>
      </c>
      <c r="R38" s="267">
        <v>8.479279699051534E-2</v>
      </c>
      <c r="S38" s="267">
        <v>8.520810442240756E-2</v>
      </c>
      <c r="T38" s="267">
        <v>8.6643596539974554E-2</v>
      </c>
      <c r="U38" s="267">
        <v>7.2701057514525269E-2</v>
      </c>
      <c r="V38" s="267">
        <v>7.1997045874302001E-2</v>
      </c>
      <c r="W38" s="267">
        <v>7.6743751990037801E-2</v>
      </c>
      <c r="X38" s="267">
        <v>6.5249223443968107E-2</v>
      </c>
      <c r="Y38" s="267">
        <v>7.2846444553466005E-2</v>
      </c>
      <c r="Z38" s="267">
        <v>6.5425212125576948E-2</v>
      </c>
      <c r="AA38" s="267">
        <v>6.0846366635926241E-2</v>
      </c>
      <c r="AB38" s="268">
        <v>0.10057953993078406</v>
      </c>
      <c r="AC38" s="268">
        <v>6.0846366635926241E-2</v>
      </c>
    </row>
    <row r="39" spans="1:29" x14ac:dyDescent="0.35">
      <c r="A39" s="310">
        <v>47</v>
      </c>
      <c r="B39" s="211" t="s">
        <v>129</v>
      </c>
      <c r="C39" s="234">
        <v>1.646666</v>
      </c>
      <c r="D39" s="234">
        <v>1.659381</v>
      </c>
      <c r="E39" s="234">
        <v>1.6697919999999999</v>
      </c>
      <c r="F39" s="234">
        <v>1.6807080000000001</v>
      </c>
      <c r="G39" s="234">
        <v>1.6913069999999999</v>
      </c>
      <c r="H39" s="234">
        <v>1.702161</v>
      </c>
      <c r="I39" s="234">
        <v>1.7116340000000001</v>
      </c>
      <c r="J39" s="234">
        <v>1.7210030000000001</v>
      </c>
      <c r="K39" s="234">
        <v>1.73037</v>
      </c>
      <c r="L39" s="234">
        <v>1.7392300000000001</v>
      </c>
      <c r="M39" s="234">
        <v>1.7488090000000001</v>
      </c>
      <c r="N39" s="234">
        <v>1.7566109999999999</v>
      </c>
      <c r="O39" s="234">
        <v>1.765182</v>
      </c>
      <c r="P39" s="267">
        <v>9.3437598075124528E-2</v>
      </c>
      <c r="Q39" s="267">
        <v>8.3735701149157293E-2</v>
      </c>
      <c r="R39" s="267">
        <v>7.8607046963161897E-2</v>
      </c>
      <c r="S39" s="267">
        <v>7.8355974255547967E-2</v>
      </c>
      <c r="T39" s="267">
        <v>7.9787442703974421E-2</v>
      </c>
      <c r="U39" s="267">
        <v>6.65721050479684E-2</v>
      </c>
      <c r="V39" s="267">
        <v>6.5444844981339623E-2</v>
      </c>
      <c r="W39" s="267">
        <v>6.9704075273194332E-2</v>
      </c>
      <c r="X39" s="267">
        <v>5.9139002009304109E-2</v>
      </c>
      <c r="Y39" s="267">
        <v>6.5861988689159601E-2</v>
      </c>
      <c r="Z39" s="267">
        <v>5.8901746387236553E-2</v>
      </c>
      <c r="AA39" s="267">
        <v>5.4534134358096509E-2</v>
      </c>
      <c r="AB39" s="268">
        <v>9.3437598075124528E-2</v>
      </c>
      <c r="AC39" s="268">
        <v>5.4534134358096509E-2</v>
      </c>
    </row>
    <row r="40" spans="1:29" x14ac:dyDescent="0.35">
      <c r="A40" s="310">
        <v>48</v>
      </c>
      <c r="B40" s="211" t="s">
        <v>238</v>
      </c>
      <c r="C40" s="234">
        <v>1.836684</v>
      </c>
      <c r="D40" s="234">
        <v>1.8540410000000001</v>
      </c>
      <c r="E40" s="234">
        <v>1.8682939999999999</v>
      </c>
      <c r="F40" s="234">
        <v>1.883345</v>
      </c>
      <c r="G40" s="234">
        <v>1.898277</v>
      </c>
      <c r="H40" s="234">
        <v>1.9135420000000001</v>
      </c>
      <c r="I40" s="234">
        <v>1.927098</v>
      </c>
      <c r="J40" s="234">
        <v>1.940777</v>
      </c>
      <c r="K40" s="234">
        <v>1.954493</v>
      </c>
      <c r="L40" s="234">
        <v>1.9675720000000001</v>
      </c>
      <c r="M40" s="234">
        <v>1.981813</v>
      </c>
      <c r="N40" s="234">
        <v>1.993552</v>
      </c>
      <c r="O40" s="234">
        <v>2.0066190000000002</v>
      </c>
      <c r="P40" s="267">
        <v>0.11541747782949585</v>
      </c>
      <c r="Q40" s="267">
        <v>0.10347216236711132</v>
      </c>
      <c r="R40" s="267">
        <v>9.7658057472306492E-2</v>
      </c>
      <c r="S40" s="267">
        <v>9.9401760431786723E-2</v>
      </c>
      <c r="T40" s="267">
        <v>0.10088247454286359</v>
      </c>
      <c r="U40" s="267">
        <v>8.5432595299142378E-2</v>
      </c>
      <c r="V40" s="267">
        <v>8.5607750181840858E-2</v>
      </c>
      <c r="W40" s="267">
        <v>9.1358336067258072E-2</v>
      </c>
      <c r="X40" s="267">
        <v>7.7918151707834005E-2</v>
      </c>
      <c r="Y40" s="267">
        <v>8.7356786404803266E-2</v>
      </c>
      <c r="Z40" s="267">
        <v>7.8890146820449925E-2</v>
      </c>
      <c r="AA40" s="267">
        <v>7.3873013472843141E-2</v>
      </c>
      <c r="AB40" s="268">
        <v>0.11541747782949585</v>
      </c>
      <c r="AC40" s="268">
        <v>7.3873013472843141E-2</v>
      </c>
    </row>
    <row r="41" spans="1:29" x14ac:dyDescent="0.35">
      <c r="A41" s="310">
        <v>49</v>
      </c>
      <c r="B41" s="211" t="s">
        <v>146</v>
      </c>
      <c r="C41" s="234">
        <v>1.7360070000000001</v>
      </c>
      <c r="D41" s="234">
        <v>1.7512890000000001</v>
      </c>
      <c r="E41" s="234">
        <v>1.7638240000000001</v>
      </c>
      <c r="F41" s="234">
        <v>1.777029</v>
      </c>
      <c r="G41" s="234">
        <v>1.7900400000000001</v>
      </c>
      <c r="H41" s="234">
        <v>1.803345</v>
      </c>
      <c r="I41" s="234">
        <v>1.815094</v>
      </c>
      <c r="J41" s="234">
        <v>1.826873</v>
      </c>
      <c r="K41" s="234">
        <v>1.838673</v>
      </c>
      <c r="L41" s="234">
        <v>1.8498950000000001</v>
      </c>
      <c r="M41" s="234">
        <v>1.8620859999999999</v>
      </c>
      <c r="N41" s="234">
        <v>1.8721030000000001</v>
      </c>
      <c r="O41" s="234">
        <v>1.8832040000000001</v>
      </c>
      <c r="P41" s="267">
        <v>0.10714052796313434</v>
      </c>
      <c r="Q41" s="267">
        <v>9.603411471302481E-2</v>
      </c>
      <c r="R41" s="267">
        <v>9.0478986862648325E-2</v>
      </c>
      <c r="S41" s="267">
        <v>9.1487197328294911E-2</v>
      </c>
      <c r="T41" s="267">
        <v>9.2931671260902071E-2</v>
      </c>
      <c r="U41" s="267">
        <v>7.8330487380034786E-2</v>
      </c>
      <c r="V41" s="267">
        <v>7.8011482211676197E-2</v>
      </c>
      <c r="W41" s="267">
        <v>8.3205163786087333E-2</v>
      </c>
      <c r="X41" s="267">
        <v>7.0850942293429364E-2</v>
      </c>
      <c r="Y41" s="267">
        <v>7.9263828659155378E-2</v>
      </c>
      <c r="Z41" s="267">
        <v>7.1413707734597986E-2</v>
      </c>
      <c r="AA41" s="267">
        <v>6.662189730477186E-2</v>
      </c>
      <c r="AB41" s="268">
        <v>0.10714052796313434</v>
      </c>
      <c r="AC41" s="268">
        <v>6.662189730477186E-2</v>
      </c>
    </row>
    <row r="42" spans="1:29" x14ac:dyDescent="0.35">
      <c r="A42" s="310">
        <v>50</v>
      </c>
      <c r="B42" s="211" t="s">
        <v>147</v>
      </c>
      <c r="C42" s="234">
        <v>1.6239440000000001</v>
      </c>
      <c r="D42" s="234">
        <v>1.6364030000000001</v>
      </c>
      <c r="E42" s="234">
        <v>1.646603</v>
      </c>
      <c r="F42" s="234">
        <v>1.6572819999999999</v>
      </c>
      <c r="G42" s="234">
        <v>1.6676390000000001</v>
      </c>
      <c r="H42" s="234">
        <v>1.6782429999999999</v>
      </c>
      <c r="I42" s="234">
        <v>1.687489</v>
      </c>
      <c r="J42" s="234">
        <v>1.696625</v>
      </c>
      <c r="K42" s="234">
        <v>1.705765</v>
      </c>
      <c r="L42" s="234">
        <v>1.7144090000000001</v>
      </c>
      <c r="M42" s="234">
        <v>1.723732</v>
      </c>
      <c r="N42" s="234">
        <v>1.7313210000000001</v>
      </c>
      <c r="O42" s="234">
        <v>1.7396670000000001</v>
      </c>
      <c r="P42" s="267">
        <v>9.2812761408851863E-2</v>
      </c>
      <c r="Q42" s="267">
        <v>8.3170291094889937E-2</v>
      </c>
      <c r="R42" s="267">
        <v>7.7961760077690734E-2</v>
      </c>
      <c r="S42" s="267">
        <v>7.7624747525854243E-2</v>
      </c>
      <c r="T42" s="267">
        <v>7.9030237963859218E-2</v>
      </c>
      <c r="U42" s="267">
        <v>6.5883206116569282E-2</v>
      </c>
      <c r="V42" s="267">
        <v>6.4709749899019453E-2</v>
      </c>
      <c r="W42" s="267">
        <v>6.8970109982168681E-2</v>
      </c>
      <c r="X42" s="267">
        <v>5.851358845254917E-2</v>
      </c>
      <c r="Y42" s="267">
        <v>6.5005726033341649E-2</v>
      </c>
      <c r="Z42" s="267">
        <v>5.810687184480634E-2</v>
      </c>
      <c r="AA42" s="267">
        <v>5.3862491447019156E-2</v>
      </c>
      <c r="AB42" s="268">
        <v>9.2812761408851863E-2</v>
      </c>
      <c r="AC42" s="268">
        <v>5.3862491447019156E-2</v>
      </c>
    </row>
    <row r="43" spans="1:29" x14ac:dyDescent="0.35">
      <c r="A43" s="310">
        <v>51</v>
      </c>
      <c r="B43" s="211" t="s">
        <v>165</v>
      </c>
      <c r="C43" s="234">
        <v>1.834803</v>
      </c>
      <c r="D43" s="234">
        <v>1.850384</v>
      </c>
      <c r="E43" s="234">
        <v>1.8631580000000001</v>
      </c>
      <c r="F43" s="234">
        <v>1.8765860000000001</v>
      </c>
      <c r="G43" s="234">
        <v>1.8897600000000001</v>
      </c>
      <c r="H43" s="234">
        <v>1.9032359999999999</v>
      </c>
      <c r="I43" s="234">
        <v>1.9150940000000001</v>
      </c>
      <c r="J43" s="234">
        <v>1.9269400000000001</v>
      </c>
      <c r="K43" s="234">
        <v>1.9388069999999999</v>
      </c>
      <c r="L43" s="234">
        <v>1.9500789999999999</v>
      </c>
      <c r="M43" s="234">
        <v>1.962288</v>
      </c>
      <c r="N43" s="234">
        <v>1.9722949999999999</v>
      </c>
      <c r="O43" s="234">
        <v>1.983376</v>
      </c>
      <c r="P43" s="267">
        <v>0.10318282594504646</v>
      </c>
      <c r="Q43" s="267">
        <v>9.248339034172548E-2</v>
      </c>
      <c r="R43" s="267">
        <v>8.6971518682761095E-2</v>
      </c>
      <c r="S43" s="267">
        <v>8.7572360362516921E-2</v>
      </c>
      <c r="T43" s="267">
        <v>8.9010081500733751E-2</v>
      </c>
      <c r="U43" s="267">
        <v>7.4794032448137759E-2</v>
      </c>
      <c r="V43" s="267">
        <v>7.4237909610692654E-2</v>
      </c>
      <c r="W43" s="267">
        <v>7.9195129753460103E-2</v>
      </c>
      <c r="X43" s="267">
        <v>6.7390412224319407E-2</v>
      </c>
      <c r="Y43" s="267">
        <v>7.5170321718502686E-2</v>
      </c>
      <c r="Z43" s="267">
        <v>6.7586430246101559E-2</v>
      </c>
      <c r="AA43" s="267">
        <v>6.302574240998049E-2</v>
      </c>
      <c r="AB43" s="268">
        <v>0.10318282594504646</v>
      </c>
      <c r="AC43" s="268">
        <v>6.302574240998049E-2</v>
      </c>
    </row>
    <row r="44" spans="1:29" x14ac:dyDescent="0.35">
      <c r="A44" s="310">
        <v>52</v>
      </c>
      <c r="B44" s="211" t="s">
        <v>148</v>
      </c>
      <c r="C44" s="234">
        <v>1.6717690000000001</v>
      </c>
      <c r="D44" s="234">
        <v>1.6855739999999999</v>
      </c>
      <c r="E44" s="234">
        <v>1.696887</v>
      </c>
      <c r="F44" s="234">
        <v>1.708777</v>
      </c>
      <c r="G44" s="234">
        <v>1.720413</v>
      </c>
      <c r="H44" s="234">
        <v>1.7323189999999999</v>
      </c>
      <c r="I44" s="234">
        <v>1.742775</v>
      </c>
      <c r="J44" s="234">
        <v>1.7531920000000001</v>
      </c>
      <c r="K44" s="234">
        <v>1.763617</v>
      </c>
      <c r="L44" s="234">
        <v>1.773506</v>
      </c>
      <c r="M44" s="234">
        <v>1.784224</v>
      </c>
      <c r="N44" s="234">
        <v>1.792996</v>
      </c>
      <c r="O44" s="234">
        <v>1.802678</v>
      </c>
      <c r="P44" s="267">
        <v>0.1002113809395484</v>
      </c>
      <c r="Q44" s="267">
        <v>8.9811210518259355E-2</v>
      </c>
      <c r="R44" s="267">
        <v>8.44655224136861E-2</v>
      </c>
      <c r="S44" s="267">
        <v>8.4845542710262567E-2</v>
      </c>
      <c r="T44" s="267">
        <v>8.6280136105939986E-2</v>
      </c>
      <c r="U44" s="267">
        <v>7.2382634503123988E-2</v>
      </c>
      <c r="V44" s="267">
        <v>7.1657576046813665E-2</v>
      </c>
      <c r="W44" s="267">
        <v>7.6373476122524764E-2</v>
      </c>
      <c r="X44" s="267">
        <v>6.4925774092430499E-2</v>
      </c>
      <c r="Y44" s="267">
        <v>7.2476180891702491E-2</v>
      </c>
      <c r="Z44" s="267">
        <v>6.5086774813654324E-2</v>
      </c>
      <c r="AA44" s="267">
        <v>6.0509578503121109E-2</v>
      </c>
      <c r="AB44" s="268">
        <v>0.1002113809395484</v>
      </c>
      <c r="AC44" s="268">
        <v>6.0509578503121109E-2</v>
      </c>
    </row>
    <row r="45" spans="1:29" x14ac:dyDescent="0.35">
      <c r="A45" s="310">
        <v>53</v>
      </c>
      <c r="B45" s="211" t="s">
        <v>149</v>
      </c>
      <c r="C45" s="234">
        <v>1.717406</v>
      </c>
      <c r="D45" s="234">
        <v>1.7319629999999999</v>
      </c>
      <c r="E45" s="234">
        <v>1.7439</v>
      </c>
      <c r="F45" s="234">
        <v>1.756446</v>
      </c>
      <c r="G45" s="234">
        <v>1.768753</v>
      </c>
      <c r="H45" s="234">
        <v>1.781342</v>
      </c>
      <c r="I45" s="234">
        <v>1.7924150000000001</v>
      </c>
      <c r="J45" s="234">
        <v>1.8034779999999999</v>
      </c>
      <c r="K45" s="234">
        <v>1.814559</v>
      </c>
      <c r="L45" s="234">
        <v>1.8250850000000001</v>
      </c>
      <c r="M45" s="234">
        <v>1.8364830000000001</v>
      </c>
      <c r="N45" s="234">
        <v>1.845812</v>
      </c>
      <c r="O45" s="234">
        <v>1.856144</v>
      </c>
      <c r="P45" s="267">
        <v>0.1029825814031553</v>
      </c>
      <c r="Q45" s="267">
        <v>9.2326431176082746E-2</v>
      </c>
      <c r="R45" s="267">
        <v>8.6809879739258689E-2</v>
      </c>
      <c r="S45" s="267">
        <v>8.7398287309057965E-2</v>
      </c>
      <c r="T45" s="267">
        <v>8.8833360557662111E-2</v>
      </c>
      <c r="U45" s="267">
        <v>7.4616154730038131E-2</v>
      </c>
      <c r="V45" s="267">
        <v>7.4070824011571057E-2</v>
      </c>
      <c r="W45" s="267">
        <v>7.9005676708516548E-2</v>
      </c>
      <c r="X45" s="267">
        <v>6.7234908422825423E-2</v>
      </c>
      <c r="Y45" s="267">
        <v>7.4976975982985028E-2</v>
      </c>
      <c r="Z45" s="267">
        <v>6.7315506067568975E-2</v>
      </c>
      <c r="AA45" s="267">
        <v>6.2786003450753469E-2</v>
      </c>
      <c r="AB45" s="268">
        <v>0.1029825814031553</v>
      </c>
      <c r="AC45" s="268">
        <v>6.2786003450753469E-2</v>
      </c>
    </row>
    <row r="47" spans="1:29" x14ac:dyDescent="0.35">
      <c r="A47" s="310">
        <v>67</v>
      </c>
      <c r="B47" s="211" t="s">
        <v>226</v>
      </c>
      <c r="C47" s="234">
        <v>4.846114</v>
      </c>
      <c r="D47" s="234">
        <v>4.8610379999999997</v>
      </c>
      <c r="E47" s="234">
        <v>4.7700550000000002</v>
      </c>
      <c r="F47" s="234">
        <v>4.52515</v>
      </c>
      <c r="G47" s="234">
        <v>4.393421</v>
      </c>
      <c r="H47" s="234">
        <v>4.5567339999999996</v>
      </c>
      <c r="I47" s="234">
        <v>4.627796</v>
      </c>
      <c r="J47" s="234">
        <v>4.7317980000000004</v>
      </c>
      <c r="K47" s="234">
        <v>4.7435130000000001</v>
      </c>
      <c r="L47" s="234">
        <v>4.8205140000000002</v>
      </c>
      <c r="M47" s="234">
        <v>5.0109830000000004</v>
      </c>
      <c r="N47" s="234">
        <v>4.8809430000000003</v>
      </c>
      <c r="O47" s="234">
        <v>4.8020550000000002</v>
      </c>
      <c r="P47" s="267">
        <v>3.0795808765538002E-3</v>
      </c>
      <c r="Q47" s="267">
        <v>-1.8716784357579508E-2</v>
      </c>
      <c r="R47" s="267">
        <v>-5.1342175299865511E-2</v>
      </c>
      <c r="S47" s="267">
        <v>-2.9110416229296221E-2</v>
      </c>
      <c r="T47" s="267">
        <v>3.7172171754084049E-2</v>
      </c>
      <c r="U47" s="267">
        <v>1.5594941464654344E-2</v>
      </c>
      <c r="V47" s="267">
        <v>2.2473332878113039E-2</v>
      </c>
      <c r="W47" s="267">
        <v>2.4758030668257103E-3</v>
      </c>
      <c r="X47" s="267">
        <v>1.6232905865336544E-2</v>
      </c>
      <c r="Y47" s="267">
        <v>3.9512176502339846E-2</v>
      </c>
      <c r="Z47" s="267">
        <v>-2.5950996042093943E-2</v>
      </c>
      <c r="AA47" s="267">
        <v>-1.61624505756367E-2</v>
      </c>
      <c r="AB47" s="268">
        <v>3.9512176502339846E-2</v>
      </c>
      <c r="AC47" s="268">
        <v>-5.1342175299865511E-2</v>
      </c>
    </row>
    <row r="48" spans="1:29" x14ac:dyDescent="0.35">
      <c r="A48" s="310">
        <v>68</v>
      </c>
      <c r="B48" s="211" t="s">
        <v>114</v>
      </c>
      <c r="C48" s="234">
        <v>5.339429</v>
      </c>
      <c r="D48" s="234">
        <v>5.3581339999999997</v>
      </c>
      <c r="E48" s="234">
        <v>5.2596569999999998</v>
      </c>
      <c r="F48" s="234">
        <v>4.991517</v>
      </c>
      <c r="G48" s="234">
        <v>4.8482810000000001</v>
      </c>
      <c r="H48" s="234">
        <v>5.0305999999999997</v>
      </c>
      <c r="I48" s="234">
        <v>5.1110160000000002</v>
      </c>
      <c r="J48" s="234">
        <v>5.2279239999999998</v>
      </c>
      <c r="K48" s="234">
        <v>5.2428790000000003</v>
      </c>
      <c r="L48" s="234">
        <v>5.3299580000000004</v>
      </c>
      <c r="M48" s="234">
        <v>5.5427670000000004</v>
      </c>
      <c r="N48" s="234">
        <v>5.4007399999999999</v>
      </c>
      <c r="O48" s="234">
        <v>5.3155000000000001</v>
      </c>
      <c r="P48" s="267">
        <v>3.5031835801169198E-3</v>
      </c>
      <c r="Q48" s="267">
        <v>-1.8378972978279395E-2</v>
      </c>
      <c r="R48" s="267">
        <v>-5.0980510706306492E-2</v>
      </c>
      <c r="S48" s="267">
        <v>-2.869588543923618E-2</v>
      </c>
      <c r="T48" s="267">
        <v>3.760487479995489E-2</v>
      </c>
      <c r="U48" s="267">
        <v>1.5985369538424887E-2</v>
      </c>
      <c r="V48" s="267">
        <v>2.2873729998105885E-2</v>
      </c>
      <c r="W48" s="267">
        <v>2.8606001158395511E-3</v>
      </c>
      <c r="X48" s="267">
        <v>1.6609004327584165E-2</v>
      </c>
      <c r="Y48" s="267">
        <v>3.9926956272450909E-2</v>
      </c>
      <c r="Z48" s="267">
        <v>-2.5623844552729813E-2</v>
      </c>
      <c r="AA48" s="267">
        <v>-1.5783022326570029E-2</v>
      </c>
      <c r="AB48" s="268">
        <v>3.9926956272450909E-2</v>
      </c>
      <c r="AC48" s="268">
        <v>-5.0980510706306492E-2</v>
      </c>
    </row>
    <row r="49" spans="1:29" x14ac:dyDescent="0.35">
      <c r="A49" s="310">
        <v>69</v>
      </c>
      <c r="B49" s="211" t="s">
        <v>115</v>
      </c>
      <c r="C49" s="234">
        <v>5.4391540000000003</v>
      </c>
      <c r="D49" s="234">
        <v>5.4596390000000001</v>
      </c>
      <c r="E49" s="234">
        <v>5.3604500000000002</v>
      </c>
      <c r="F49" s="234">
        <v>5.0883690000000001</v>
      </c>
      <c r="G49" s="234">
        <v>4.9435650000000004</v>
      </c>
      <c r="H49" s="234">
        <v>5.1307549999999997</v>
      </c>
      <c r="I49" s="234">
        <v>5.2139990000000003</v>
      </c>
      <c r="J49" s="234">
        <v>5.3345589999999996</v>
      </c>
      <c r="K49" s="234">
        <v>5.3511340000000001</v>
      </c>
      <c r="L49" s="234">
        <v>5.4413239999999998</v>
      </c>
      <c r="M49" s="234">
        <v>5.6600979999999996</v>
      </c>
      <c r="N49" s="234">
        <v>5.5163120000000001</v>
      </c>
      <c r="O49" s="234">
        <v>5.4306330000000003</v>
      </c>
      <c r="P49" s="267">
        <v>3.7662107011493529E-3</v>
      </c>
      <c r="Q49" s="267">
        <v>-1.8167684713220056E-2</v>
      </c>
      <c r="R49" s="267">
        <v>-5.07571192717029E-2</v>
      </c>
      <c r="S49" s="267">
        <v>-2.8457841795671568E-2</v>
      </c>
      <c r="T49" s="267">
        <v>3.7865386618765928E-2</v>
      </c>
      <c r="U49" s="267">
        <v>1.6224512766639609E-2</v>
      </c>
      <c r="V49" s="267">
        <v>2.3122367303867852E-2</v>
      </c>
      <c r="W49" s="267">
        <v>3.1070984499375065E-3</v>
      </c>
      <c r="X49" s="267">
        <v>1.6854371428560722E-2</v>
      </c>
      <c r="Y49" s="267">
        <v>4.0206023386955003E-2</v>
      </c>
      <c r="Z49" s="267">
        <v>-2.5403447078124697E-2</v>
      </c>
      <c r="AA49" s="267">
        <v>-1.5531935104468264E-2</v>
      </c>
      <c r="AB49" s="268">
        <v>4.0206023386955003E-2</v>
      </c>
      <c r="AC49" s="268">
        <v>-5.07571192717029E-2</v>
      </c>
    </row>
    <row r="50" spans="1:29" x14ac:dyDescent="0.35">
      <c r="A50" s="310">
        <v>73</v>
      </c>
      <c r="B50" s="211" t="s">
        <v>116</v>
      </c>
      <c r="C50" s="234">
        <v>5.4671250000000002</v>
      </c>
      <c r="D50" s="234">
        <v>5.4934960000000004</v>
      </c>
      <c r="E50" s="234">
        <v>5.3983429999999997</v>
      </c>
      <c r="F50" s="234">
        <v>5.1290120000000003</v>
      </c>
      <c r="G50" s="234">
        <v>4.9878590000000003</v>
      </c>
      <c r="H50" s="234">
        <v>5.1817339999999996</v>
      </c>
      <c r="I50" s="234">
        <v>5.2705960000000003</v>
      </c>
      <c r="J50" s="234">
        <v>5.3978479999999998</v>
      </c>
      <c r="K50" s="234">
        <v>5.4200489999999997</v>
      </c>
      <c r="L50" s="234">
        <v>5.5167359999999999</v>
      </c>
      <c r="M50" s="234">
        <v>5.7446789999999996</v>
      </c>
      <c r="N50" s="234">
        <v>5.603847</v>
      </c>
      <c r="O50" s="234">
        <v>5.5225660000000003</v>
      </c>
      <c r="P50" s="267">
        <v>4.8235590003886664E-3</v>
      </c>
      <c r="Q50" s="267">
        <v>-1.7321028357898283E-2</v>
      </c>
      <c r="R50" s="267">
        <v>-4.9891420385847929E-2</v>
      </c>
      <c r="S50" s="267">
        <v>-2.7520504923755351E-2</v>
      </c>
      <c r="T50" s="267">
        <v>3.8869382634914018E-2</v>
      </c>
      <c r="U50" s="267">
        <v>1.7149085614969861E-2</v>
      </c>
      <c r="V50" s="267">
        <v>2.4143759073926185E-2</v>
      </c>
      <c r="W50" s="267">
        <v>4.1129353772095811E-3</v>
      </c>
      <c r="X50" s="267">
        <v>1.7838768616298628E-2</v>
      </c>
      <c r="Y50" s="267">
        <v>4.1318453520342358E-2</v>
      </c>
      <c r="Z50" s="267">
        <v>-2.4515207899344693E-2</v>
      </c>
      <c r="AA50" s="267">
        <v>-1.450450021208638E-2</v>
      </c>
      <c r="AB50" s="268">
        <v>4.1318453520342358E-2</v>
      </c>
      <c r="AC50" s="268">
        <v>-4.9891420385847929E-2</v>
      </c>
    </row>
    <row r="51" spans="1:29" x14ac:dyDescent="0.35">
      <c r="A51" s="310">
        <v>74</v>
      </c>
      <c r="B51" s="211" t="s">
        <v>117</v>
      </c>
      <c r="C51" s="234">
        <v>4.9892960000000004</v>
      </c>
      <c r="D51" s="234">
        <v>5.0067310000000003</v>
      </c>
      <c r="E51" s="234">
        <v>4.9146830000000001</v>
      </c>
      <c r="F51" s="234">
        <v>4.6640480000000002</v>
      </c>
      <c r="G51" s="234">
        <v>4.5300390000000004</v>
      </c>
      <c r="H51" s="234">
        <v>4.700259</v>
      </c>
      <c r="I51" s="234">
        <v>4.7752970000000001</v>
      </c>
      <c r="J51" s="234">
        <v>4.8845109999999998</v>
      </c>
      <c r="K51" s="234">
        <v>4.8985060000000002</v>
      </c>
      <c r="L51" s="234">
        <v>4.9798939999999998</v>
      </c>
      <c r="M51" s="234">
        <v>5.1787989999999997</v>
      </c>
      <c r="N51" s="234">
        <v>5.0461720000000003</v>
      </c>
      <c r="O51" s="234">
        <v>4.9666030000000001</v>
      </c>
      <c r="P51" s="267">
        <v>3.4944809848924674E-3</v>
      </c>
      <c r="Q51" s="267">
        <v>-1.8384850314506651E-2</v>
      </c>
      <c r="R51" s="267">
        <v>-5.0997185372891773E-2</v>
      </c>
      <c r="S51" s="267">
        <v>-2.8732337231520688E-2</v>
      </c>
      <c r="T51" s="267">
        <v>3.7575835439827232E-2</v>
      </c>
      <c r="U51" s="267">
        <v>1.5964652160657566E-2</v>
      </c>
      <c r="V51" s="267">
        <v>2.2870619356241129E-2</v>
      </c>
      <c r="W51" s="267">
        <v>2.8651793393443814E-3</v>
      </c>
      <c r="X51" s="267">
        <v>1.6614861755808619E-2</v>
      </c>
      <c r="Y51" s="267">
        <v>3.994161321506029E-2</v>
      </c>
      <c r="Z51" s="267">
        <v>-2.5609605624778875E-2</v>
      </c>
      <c r="AA51" s="267">
        <v>-1.5768190224193734E-2</v>
      </c>
      <c r="AB51" s="268">
        <v>3.994161321506029E-2</v>
      </c>
      <c r="AC51" s="268">
        <v>-5.0997185372891773E-2</v>
      </c>
    </row>
    <row r="52" spans="1:29" x14ac:dyDescent="0.35">
      <c r="A52" s="310">
        <v>70</v>
      </c>
      <c r="B52" s="211" t="s">
        <v>118</v>
      </c>
      <c r="C52" s="234">
        <v>4.8450569999999997</v>
      </c>
      <c r="D52" s="234">
        <v>4.8599779999999999</v>
      </c>
      <c r="E52" s="234">
        <v>4.7690140000000003</v>
      </c>
      <c r="F52" s="234">
        <v>4.5241619999999996</v>
      </c>
      <c r="G52" s="234">
        <v>4.3924620000000001</v>
      </c>
      <c r="H52" s="234">
        <v>4.555739</v>
      </c>
      <c r="I52" s="234">
        <v>4.6267860000000001</v>
      </c>
      <c r="J52" s="234">
        <v>4.7307649999999999</v>
      </c>
      <c r="K52" s="234">
        <v>4.7424770000000001</v>
      </c>
      <c r="L52" s="234">
        <v>4.8194610000000004</v>
      </c>
      <c r="M52" s="234">
        <v>5.0098880000000001</v>
      </c>
      <c r="N52" s="234">
        <v>4.8798769999999996</v>
      </c>
      <c r="O52" s="234">
        <v>4.801005</v>
      </c>
      <c r="P52" s="267">
        <v>3.0796335316591872E-3</v>
      </c>
      <c r="Q52" s="267">
        <v>-1.8716957154950031E-2</v>
      </c>
      <c r="R52" s="267">
        <v>-5.1342269072810587E-2</v>
      </c>
      <c r="S52" s="267">
        <v>-2.9110363421999352E-2</v>
      </c>
      <c r="T52" s="267">
        <v>3.7172091642454719E-2</v>
      </c>
      <c r="U52" s="267">
        <v>1.5595054940592545E-2</v>
      </c>
      <c r="V52" s="267">
        <v>2.247326762033075E-2</v>
      </c>
      <c r="W52" s="267">
        <v>2.4757095311223054E-3</v>
      </c>
      <c r="X52" s="267">
        <v>1.6232867339156298E-2</v>
      </c>
      <c r="Y52" s="267">
        <v>3.9512094817242049E-2</v>
      </c>
      <c r="Z52" s="267">
        <v>-2.5950879540620586E-2</v>
      </c>
      <c r="AA52" s="267">
        <v>-1.6162702461557821E-2</v>
      </c>
      <c r="AB52" s="268">
        <v>3.9512094817242049E-2</v>
      </c>
      <c r="AC52" s="268">
        <v>-5.1342269072810587E-2</v>
      </c>
    </row>
    <row r="53" spans="1:29" x14ac:dyDescent="0.35">
      <c r="A53" s="310">
        <v>71</v>
      </c>
      <c r="B53" s="211" t="s">
        <v>119</v>
      </c>
      <c r="C53" s="234">
        <v>4.9410689999999997</v>
      </c>
      <c r="D53" s="234">
        <v>4.9576520000000004</v>
      </c>
      <c r="E53" s="234">
        <v>4.8659569999999999</v>
      </c>
      <c r="F53" s="234">
        <v>4.617248</v>
      </c>
      <c r="G53" s="234">
        <v>4.4840020000000003</v>
      </c>
      <c r="H53" s="234">
        <v>4.6518879999999996</v>
      </c>
      <c r="I53" s="234">
        <v>4.725581</v>
      </c>
      <c r="J53" s="234">
        <v>4.8330320000000002</v>
      </c>
      <c r="K53" s="234">
        <v>4.8462519999999998</v>
      </c>
      <c r="L53" s="234">
        <v>4.9261549999999996</v>
      </c>
      <c r="M53" s="234">
        <v>5.1222079999999997</v>
      </c>
      <c r="N53" s="234">
        <v>4.9904479999999998</v>
      </c>
      <c r="O53" s="234">
        <v>4.9111019999999996</v>
      </c>
      <c r="P53" s="267">
        <v>3.3561563297337393E-3</v>
      </c>
      <c r="Q53" s="267">
        <v>-1.8495650763708404E-2</v>
      </c>
      <c r="R53" s="267">
        <v>-5.1112042297126736E-2</v>
      </c>
      <c r="S53" s="267">
        <v>-2.8858315602713902E-2</v>
      </c>
      <c r="T53" s="267">
        <v>3.7441107296562137E-2</v>
      </c>
      <c r="U53" s="267">
        <v>1.5841524989423705E-2</v>
      </c>
      <c r="V53" s="267">
        <v>2.273815642986543E-2</v>
      </c>
      <c r="W53" s="267">
        <v>2.735342948277486E-3</v>
      </c>
      <c r="X53" s="267">
        <v>1.6487586695863143E-2</v>
      </c>
      <c r="Y53" s="267">
        <v>3.9798382308311453E-2</v>
      </c>
      <c r="Z53" s="267">
        <v>-2.5723281834708733E-2</v>
      </c>
      <c r="AA53" s="267">
        <v>-1.5899574547215023E-2</v>
      </c>
      <c r="AB53" s="268">
        <v>3.9798382308311453E-2</v>
      </c>
      <c r="AC53" s="268">
        <v>-5.1112042297126736E-2</v>
      </c>
    </row>
    <row r="54" spans="1:29" x14ac:dyDescent="0.35">
      <c r="A54" s="310">
        <v>72</v>
      </c>
      <c r="B54" s="211" t="s">
        <v>120</v>
      </c>
      <c r="C54" s="234">
        <v>5.0347609999999996</v>
      </c>
      <c r="D54" s="234">
        <v>5.0529970000000004</v>
      </c>
      <c r="E54" s="234">
        <v>4.9606149999999998</v>
      </c>
      <c r="F54" s="234">
        <v>4.708164</v>
      </c>
      <c r="G54" s="234">
        <v>4.5734360000000001</v>
      </c>
      <c r="H54" s="234">
        <v>4.7458549999999997</v>
      </c>
      <c r="I54" s="234">
        <v>4.8221610000000004</v>
      </c>
      <c r="J54" s="234">
        <v>4.9330360000000004</v>
      </c>
      <c r="K54" s="234">
        <v>4.9477609999999999</v>
      </c>
      <c r="L54" s="234">
        <v>5.0305479999999996</v>
      </c>
      <c r="M54" s="234">
        <v>5.2321419999999996</v>
      </c>
      <c r="N54" s="234">
        <v>5.0986989999999999</v>
      </c>
      <c r="O54" s="234">
        <v>5.0189199999999996</v>
      </c>
      <c r="P54" s="267">
        <v>3.6220189995117558E-3</v>
      </c>
      <c r="Q54" s="267">
        <v>-1.8282615247941059E-2</v>
      </c>
      <c r="R54" s="267">
        <v>-5.0891068950120077E-2</v>
      </c>
      <c r="S54" s="267">
        <v>-2.8615825616949642E-2</v>
      </c>
      <c r="T54" s="267">
        <v>3.7700101193063551E-2</v>
      </c>
      <c r="U54" s="267">
        <v>1.6078451617253409E-2</v>
      </c>
      <c r="V54" s="267">
        <v>2.2992803433979025E-2</v>
      </c>
      <c r="W54" s="267">
        <v>2.9849772026799837E-3</v>
      </c>
      <c r="X54" s="267">
        <v>1.6732214834144221E-2</v>
      </c>
      <c r="Y54" s="267">
        <v>4.0073964108880311E-2</v>
      </c>
      <c r="Z54" s="267">
        <v>-2.5504468342028908E-2</v>
      </c>
      <c r="AA54" s="267">
        <v>-1.5646932678316627E-2</v>
      </c>
      <c r="AB54" s="268">
        <v>4.0073964108880311E-2</v>
      </c>
      <c r="AC54" s="268">
        <v>-5.0891068950120077E-2</v>
      </c>
    </row>
    <row r="55" spans="1:29" x14ac:dyDescent="0.35">
      <c r="A55" s="310">
        <v>78</v>
      </c>
      <c r="B55" s="211" t="s">
        <v>121</v>
      </c>
      <c r="C55" s="234">
        <v>5.1090340000000003</v>
      </c>
      <c r="D55" s="234">
        <v>5.1286050000000003</v>
      </c>
      <c r="E55" s="234">
        <v>5.0356930000000002</v>
      </c>
      <c r="F55" s="234">
        <v>4.7803079999999998</v>
      </c>
      <c r="G55" s="234">
        <v>4.6444279999999996</v>
      </c>
      <c r="H55" s="234">
        <v>4.8204739999999999</v>
      </c>
      <c r="I55" s="234">
        <v>4.8988750000000003</v>
      </c>
      <c r="J55" s="234">
        <v>5.0125260000000003</v>
      </c>
      <c r="K55" s="234">
        <v>5.0284789999999999</v>
      </c>
      <c r="L55" s="234">
        <v>5.113575</v>
      </c>
      <c r="M55" s="234">
        <v>5.319617</v>
      </c>
      <c r="N55" s="234">
        <v>5.1848580000000002</v>
      </c>
      <c r="O55" s="234">
        <v>5.1047479999999998</v>
      </c>
      <c r="P55" s="267">
        <v>3.8306654447788357E-3</v>
      </c>
      <c r="Q55" s="267">
        <v>-1.8116427371575705E-2</v>
      </c>
      <c r="R55" s="267">
        <v>-5.0714966142693885E-2</v>
      </c>
      <c r="S55" s="267">
        <v>-2.8424946677076068E-2</v>
      </c>
      <c r="T55" s="267">
        <v>3.7904775356621068E-2</v>
      </c>
      <c r="U55" s="267">
        <v>1.626416821250376E-2</v>
      </c>
      <c r="V55" s="267">
        <v>2.3199408027353208E-2</v>
      </c>
      <c r="W55" s="267">
        <v>3.1826268831323112E-3</v>
      </c>
      <c r="X55" s="267">
        <v>1.6922811052805464E-2</v>
      </c>
      <c r="Y55" s="267">
        <v>4.0293141295473234E-2</v>
      </c>
      <c r="Z55" s="267">
        <v>-2.5332462844599446E-2</v>
      </c>
      <c r="AA55" s="267">
        <v>-1.5450760657283236E-2</v>
      </c>
      <c r="AB55" s="268">
        <v>4.0293141295473234E-2</v>
      </c>
      <c r="AC55" s="268">
        <v>-5.0714966142693885E-2</v>
      </c>
    </row>
    <row r="56" spans="1:29" x14ac:dyDescent="0.35">
      <c r="A56" s="310">
        <v>75</v>
      </c>
      <c r="B56" s="211" t="s">
        <v>122</v>
      </c>
      <c r="C56" s="234">
        <v>4.9867489999999997</v>
      </c>
      <c r="D56" s="234">
        <v>5.0041739999999999</v>
      </c>
      <c r="E56" s="234">
        <v>4.9121730000000001</v>
      </c>
      <c r="F56" s="234">
        <v>4.6616660000000003</v>
      </c>
      <c r="G56" s="234">
        <v>4.5277250000000002</v>
      </c>
      <c r="H56" s="234">
        <v>4.6978580000000001</v>
      </c>
      <c r="I56" s="234">
        <v>4.7728570000000001</v>
      </c>
      <c r="J56" s="234">
        <v>4.882015</v>
      </c>
      <c r="K56" s="234">
        <v>4.8960020000000002</v>
      </c>
      <c r="L56" s="234">
        <v>4.9773480000000001</v>
      </c>
      <c r="M56" s="234">
        <v>5.1761509999999999</v>
      </c>
      <c r="N56" s="234">
        <v>5.0435920000000003</v>
      </c>
      <c r="O56" s="234">
        <v>4.9640639999999996</v>
      </c>
      <c r="P56" s="267">
        <v>3.4942604891483597E-3</v>
      </c>
      <c r="Q56" s="267">
        <v>-1.8384852325278866E-2</v>
      </c>
      <c r="R56" s="267">
        <v>-5.0997185970445225E-2</v>
      </c>
      <c r="S56" s="267">
        <v>-2.8732431710036699E-2</v>
      </c>
      <c r="T56" s="267">
        <v>3.7575824503475852E-2</v>
      </c>
      <c r="U56" s="267">
        <v>1.5964509782969261E-2</v>
      </c>
      <c r="V56" s="267">
        <v>2.2870578355898674E-2</v>
      </c>
      <c r="W56" s="267">
        <v>2.8650055356240767E-3</v>
      </c>
      <c r="X56" s="267">
        <v>1.6614780794615758E-2</v>
      </c>
      <c r="Y56" s="267">
        <v>3.9941551203572567E-2</v>
      </c>
      <c r="Z56" s="267">
        <v>-2.5609569736276927E-2</v>
      </c>
      <c r="AA56" s="267">
        <v>-1.5768127160166956E-2</v>
      </c>
      <c r="AB56" s="268">
        <v>3.9941551203572567E-2</v>
      </c>
      <c r="AC56" s="268">
        <v>-5.0997185970445225E-2</v>
      </c>
    </row>
    <row r="57" spans="1:29" x14ac:dyDescent="0.35">
      <c r="A57" s="310">
        <v>76</v>
      </c>
      <c r="B57" s="211" t="s">
        <v>123</v>
      </c>
      <c r="C57" s="234">
        <v>5.0669950000000004</v>
      </c>
      <c r="D57" s="234">
        <v>5.0858480000000004</v>
      </c>
      <c r="E57" s="234">
        <v>4.9932699999999999</v>
      </c>
      <c r="F57" s="234">
        <v>4.7395490000000002</v>
      </c>
      <c r="G57" s="234">
        <v>4.6043260000000004</v>
      </c>
      <c r="H57" s="234">
        <v>4.7783350000000002</v>
      </c>
      <c r="I57" s="234">
        <v>4.8555710000000003</v>
      </c>
      <c r="J57" s="234">
        <v>4.9676530000000003</v>
      </c>
      <c r="K57" s="234">
        <v>4.9829480000000004</v>
      </c>
      <c r="L57" s="234">
        <v>5.0667710000000001</v>
      </c>
      <c r="M57" s="234">
        <v>5.2703329999999999</v>
      </c>
      <c r="N57" s="234">
        <v>5.1363560000000001</v>
      </c>
      <c r="O57" s="234">
        <v>5.0564660000000003</v>
      </c>
      <c r="P57" s="267">
        <v>3.7207457279906375E-3</v>
      </c>
      <c r="Q57" s="267">
        <v>-1.8203060728515741E-2</v>
      </c>
      <c r="R57" s="267">
        <v>-5.0812593751189072E-2</v>
      </c>
      <c r="S57" s="267">
        <v>-2.8530773708637658E-2</v>
      </c>
      <c r="T57" s="267">
        <v>3.7792502094769143E-2</v>
      </c>
      <c r="U57" s="267">
        <v>1.6163789269693307E-2</v>
      </c>
      <c r="V57" s="267">
        <v>2.3083176005458395E-2</v>
      </c>
      <c r="W57" s="267">
        <v>3.0789187570066101E-3</v>
      </c>
      <c r="X57" s="267">
        <v>1.6821969645278267E-2</v>
      </c>
      <c r="Y57" s="267">
        <v>4.0175883220299413E-2</v>
      </c>
      <c r="Z57" s="267">
        <v>-2.5420974348300152E-2</v>
      </c>
      <c r="AA57" s="267">
        <v>-1.5553828434010319E-2</v>
      </c>
      <c r="AB57" s="268">
        <v>4.0175883220299413E-2</v>
      </c>
      <c r="AC57" s="268">
        <v>-5.0812593751189072E-2</v>
      </c>
    </row>
    <row r="58" spans="1:29" x14ac:dyDescent="0.35">
      <c r="A58" s="310">
        <v>77</v>
      </c>
      <c r="B58" s="211" t="s">
        <v>124</v>
      </c>
      <c r="C58" s="234">
        <v>5.1507379999999996</v>
      </c>
      <c r="D58" s="234">
        <v>5.1710919999999998</v>
      </c>
      <c r="E58" s="234">
        <v>5.077915</v>
      </c>
      <c r="F58" s="234">
        <v>4.8208869999999999</v>
      </c>
      <c r="G58" s="234">
        <v>4.6843820000000003</v>
      </c>
      <c r="H58" s="234">
        <v>4.8624859999999996</v>
      </c>
      <c r="I58" s="234">
        <v>4.9420960000000003</v>
      </c>
      <c r="J58" s="234">
        <v>5.0572569999999999</v>
      </c>
      <c r="K58" s="234">
        <v>5.0738909999999997</v>
      </c>
      <c r="L58" s="234">
        <v>5.1603159999999999</v>
      </c>
      <c r="M58" s="234">
        <v>5.368862</v>
      </c>
      <c r="N58" s="234">
        <v>5.2333660000000002</v>
      </c>
      <c r="O58" s="234">
        <v>5.1531010000000004</v>
      </c>
      <c r="P58" s="267">
        <v>3.9516667320294019E-3</v>
      </c>
      <c r="Q58" s="267">
        <v>-1.8018824650576692E-2</v>
      </c>
      <c r="R58" s="267">
        <v>-5.0616837816308435E-2</v>
      </c>
      <c r="S58" s="267">
        <v>-2.831532869366149E-2</v>
      </c>
      <c r="T58" s="267">
        <v>3.8020810429209018E-2</v>
      </c>
      <c r="U58" s="267">
        <v>1.6372283642564822E-2</v>
      </c>
      <c r="V58" s="267">
        <v>2.3302056455398512E-2</v>
      </c>
      <c r="W58" s="267">
        <v>3.2891348017314304E-3</v>
      </c>
      <c r="X58" s="267">
        <v>1.7033278799248874E-2</v>
      </c>
      <c r="Y58" s="267">
        <v>4.0413416542707914E-2</v>
      </c>
      <c r="Z58" s="267">
        <v>-2.5237378051438109E-2</v>
      </c>
      <c r="AA58" s="267">
        <v>-1.5337165411324127E-2</v>
      </c>
      <c r="AB58" s="268">
        <v>4.0413416542707914E-2</v>
      </c>
      <c r="AC58" s="268">
        <v>-5.0616837816308435E-2</v>
      </c>
    </row>
    <row r="61" spans="1:29" x14ac:dyDescent="0.35">
      <c r="B61" s="211" t="s">
        <v>0</v>
      </c>
      <c r="AB61" s="211" t="s">
        <v>81</v>
      </c>
      <c r="AC61" s="211" t="s">
        <v>81</v>
      </c>
    </row>
    <row r="62" spans="1:29" x14ac:dyDescent="0.35">
      <c r="B62" s="211" t="s">
        <v>1</v>
      </c>
      <c r="AB62" s="211" t="s">
        <v>81</v>
      </c>
      <c r="AC62" s="211" t="s">
        <v>81</v>
      </c>
    </row>
    <row r="63" spans="1:29" x14ac:dyDescent="0.35">
      <c r="B63" s="211" t="s">
        <v>151</v>
      </c>
      <c r="AB63" s="211" t="s">
        <v>81</v>
      </c>
      <c r="AC63" s="211" t="s">
        <v>81</v>
      </c>
    </row>
    <row r="64" spans="1:29" x14ac:dyDescent="0.35">
      <c r="B64" s="211" t="s">
        <v>152</v>
      </c>
      <c r="AB64" s="211" t="s">
        <v>81</v>
      </c>
      <c r="AC64" s="211" t="s">
        <v>81</v>
      </c>
    </row>
    <row r="65" spans="2:29" x14ac:dyDescent="0.35">
      <c r="B65" s="211" t="s">
        <v>2</v>
      </c>
      <c r="AB65" s="211" t="s">
        <v>81</v>
      </c>
      <c r="AC65" s="211" t="s">
        <v>81</v>
      </c>
    </row>
    <row r="66" spans="2:29" x14ac:dyDescent="0.35">
      <c r="B66" s="211" t="s">
        <v>150</v>
      </c>
      <c r="AB66" s="211" t="s">
        <v>81</v>
      </c>
      <c r="AC66" s="211" t="s">
        <v>81</v>
      </c>
    </row>
    <row r="67" spans="2:29" x14ac:dyDescent="0.35">
      <c r="B67" s="211" t="s">
        <v>84</v>
      </c>
      <c r="AB67" s="211" t="s">
        <v>81</v>
      </c>
      <c r="AC67" s="211" t="s">
        <v>81</v>
      </c>
    </row>
    <row r="68" spans="2:29" x14ac:dyDescent="0.35">
      <c r="B68" s="211" t="s">
        <v>85</v>
      </c>
      <c r="AB68" s="211" t="s">
        <v>81</v>
      </c>
      <c r="AC68" s="211" t="s">
        <v>81</v>
      </c>
    </row>
    <row r="69" spans="2:29" x14ac:dyDescent="0.35">
      <c r="B69" s="211" t="s">
        <v>88</v>
      </c>
      <c r="AB69" s="211" t="s">
        <v>81</v>
      </c>
      <c r="AC69" s="211" t="s">
        <v>81</v>
      </c>
    </row>
    <row r="70" spans="2:29" x14ac:dyDescent="0.35">
      <c r="B70" s="211" t="s">
        <v>89</v>
      </c>
      <c r="AB70" s="211" t="s">
        <v>81</v>
      </c>
      <c r="AC70" s="211" t="s">
        <v>81</v>
      </c>
    </row>
    <row r="71" spans="2:29" x14ac:dyDescent="0.35">
      <c r="B71" s="211" t="s">
        <v>90</v>
      </c>
      <c r="AB71" s="211" t="s">
        <v>81</v>
      </c>
      <c r="AC71" s="211" t="s">
        <v>81</v>
      </c>
    </row>
    <row r="72" spans="2:29" x14ac:dyDescent="0.35">
      <c r="B72" s="211" t="s">
        <v>86</v>
      </c>
      <c r="AB72" s="211" t="s">
        <v>81</v>
      </c>
      <c r="AC72" s="211" t="s">
        <v>81</v>
      </c>
    </row>
    <row r="73" spans="2:29" x14ac:dyDescent="0.35">
      <c r="B73" s="211" t="s">
        <v>87</v>
      </c>
      <c r="AB73" s="211" t="s">
        <v>81</v>
      </c>
      <c r="AC73" s="211" t="s">
        <v>81</v>
      </c>
    </row>
    <row r="74" spans="2:29" x14ac:dyDescent="0.35">
      <c r="B74" s="211" t="s">
        <v>92</v>
      </c>
      <c r="AB74" s="211" t="s">
        <v>81</v>
      </c>
      <c r="AC74" s="211" t="s">
        <v>81</v>
      </c>
    </row>
    <row r="75" spans="2:29" x14ac:dyDescent="0.35">
      <c r="B75" s="211" t="s">
        <v>93</v>
      </c>
      <c r="AB75" s="211" t="s">
        <v>81</v>
      </c>
      <c r="AC75" s="211" t="s">
        <v>81</v>
      </c>
    </row>
    <row r="76" spans="2:29" x14ac:dyDescent="0.35">
      <c r="B76" s="211" t="s">
        <v>94</v>
      </c>
      <c r="AB76" s="211" t="s">
        <v>81</v>
      </c>
      <c r="AC76" s="211" t="s">
        <v>81</v>
      </c>
    </row>
    <row r="77" spans="2:29" x14ac:dyDescent="0.35">
      <c r="B77" s="211" t="s">
        <v>91</v>
      </c>
      <c r="AB77" s="211" t="s">
        <v>81</v>
      </c>
      <c r="AC77" s="211" t="s">
        <v>81</v>
      </c>
    </row>
    <row r="78" spans="2:29" x14ac:dyDescent="0.35">
      <c r="B78" s="211" t="s">
        <v>140</v>
      </c>
      <c r="AB78" s="211" t="s">
        <v>81</v>
      </c>
      <c r="AC78" s="211" t="s">
        <v>81</v>
      </c>
    </row>
    <row r="79" spans="2:29" x14ac:dyDescent="0.35">
      <c r="B79" s="211" t="s">
        <v>134</v>
      </c>
      <c r="AB79" s="211" t="s">
        <v>81</v>
      </c>
      <c r="AC79" s="211" t="s">
        <v>81</v>
      </c>
    </row>
    <row r="80" spans="2:29" x14ac:dyDescent="0.35">
      <c r="B80" s="211" t="s">
        <v>135</v>
      </c>
      <c r="AB80" s="211" t="s">
        <v>81</v>
      </c>
      <c r="AC80" s="211" t="s">
        <v>81</v>
      </c>
    </row>
    <row r="81" spans="2:29" x14ac:dyDescent="0.35">
      <c r="B81" s="211" t="s">
        <v>136</v>
      </c>
      <c r="AB81" s="211" t="s">
        <v>81</v>
      </c>
      <c r="AC81" s="211" t="s">
        <v>81</v>
      </c>
    </row>
    <row r="82" spans="2:29" x14ac:dyDescent="0.35">
      <c r="B82" s="211" t="s">
        <v>137</v>
      </c>
      <c r="AB82" s="211" t="s">
        <v>81</v>
      </c>
      <c r="AC82" s="211" t="s">
        <v>81</v>
      </c>
    </row>
    <row r="83" spans="2:29" x14ac:dyDescent="0.35">
      <c r="B83" s="211" t="s">
        <v>138</v>
      </c>
      <c r="AB83" s="211" t="s">
        <v>81</v>
      </c>
      <c r="AC83" s="211" t="s">
        <v>81</v>
      </c>
    </row>
    <row r="84" spans="2:29" x14ac:dyDescent="0.35">
      <c r="B84" s="211" t="s">
        <v>95</v>
      </c>
      <c r="AB84" s="211" t="s">
        <v>81</v>
      </c>
      <c r="AC84" s="211" t="s">
        <v>81</v>
      </c>
    </row>
    <row r="85" spans="2:29" x14ac:dyDescent="0.35">
      <c r="B85" s="211" t="s">
        <v>96</v>
      </c>
      <c r="AB85" s="211" t="s">
        <v>81</v>
      </c>
      <c r="AC85" s="211" t="s">
        <v>81</v>
      </c>
    </row>
    <row r="86" spans="2:29" x14ac:dyDescent="0.35">
      <c r="B86" s="211" t="s">
        <v>99</v>
      </c>
      <c r="AB86" s="211" t="s">
        <v>81</v>
      </c>
      <c r="AC86" s="211" t="s">
        <v>81</v>
      </c>
    </row>
    <row r="87" spans="2:29" x14ac:dyDescent="0.35">
      <c r="B87" s="211" t="s">
        <v>100</v>
      </c>
      <c r="AB87" s="211" t="s">
        <v>81</v>
      </c>
      <c r="AC87" s="211" t="s">
        <v>81</v>
      </c>
    </row>
    <row r="88" spans="2:29" x14ac:dyDescent="0.35">
      <c r="B88" s="211" t="s">
        <v>101</v>
      </c>
      <c r="AB88" s="211" t="s">
        <v>81</v>
      </c>
      <c r="AC88" s="211" t="s">
        <v>81</v>
      </c>
    </row>
    <row r="89" spans="2:29" x14ac:dyDescent="0.35">
      <c r="B89" s="211" t="s">
        <v>97</v>
      </c>
      <c r="AB89" s="211" t="s">
        <v>81</v>
      </c>
      <c r="AC89" s="211" t="s">
        <v>81</v>
      </c>
    </row>
    <row r="90" spans="2:29" x14ac:dyDescent="0.35">
      <c r="B90" s="211" t="s">
        <v>98</v>
      </c>
      <c r="AB90" s="211" t="s">
        <v>81</v>
      </c>
      <c r="AC90" s="211" t="s">
        <v>81</v>
      </c>
    </row>
    <row r="91" spans="2:29" x14ac:dyDescent="0.35">
      <c r="B91" s="211" t="s">
        <v>103</v>
      </c>
      <c r="AB91" s="211" t="s">
        <v>81</v>
      </c>
      <c r="AC91" s="211" t="s">
        <v>81</v>
      </c>
    </row>
    <row r="92" spans="2:29" x14ac:dyDescent="0.35">
      <c r="B92" s="211" t="s">
        <v>104</v>
      </c>
      <c r="AB92" s="211" t="s">
        <v>81</v>
      </c>
      <c r="AC92" s="211" t="s">
        <v>81</v>
      </c>
    </row>
    <row r="93" spans="2:29" x14ac:dyDescent="0.35">
      <c r="B93" s="211" t="s">
        <v>105</v>
      </c>
      <c r="AB93" s="211" t="s">
        <v>81</v>
      </c>
      <c r="AC93" s="211" t="s">
        <v>81</v>
      </c>
    </row>
    <row r="94" spans="2:29" x14ac:dyDescent="0.35">
      <c r="B94" s="211" t="s">
        <v>102</v>
      </c>
      <c r="AB94" s="211" t="s">
        <v>81</v>
      </c>
      <c r="AC94" s="211" t="s">
        <v>81</v>
      </c>
    </row>
    <row r="95" spans="2:29" x14ac:dyDescent="0.35">
      <c r="B95" s="211" t="s">
        <v>15</v>
      </c>
      <c r="AB95" s="211" t="s">
        <v>81</v>
      </c>
      <c r="AC95" s="211" t="s">
        <v>81</v>
      </c>
    </row>
    <row r="96" spans="2:29" x14ac:dyDescent="0.35">
      <c r="B96" s="211" t="s">
        <v>141</v>
      </c>
      <c r="AB96" s="211" t="s">
        <v>81</v>
      </c>
      <c r="AC96" s="211" t="s">
        <v>81</v>
      </c>
    </row>
    <row r="97" spans="2:29" x14ac:dyDescent="0.35">
      <c r="B97" s="211" t="s">
        <v>132</v>
      </c>
      <c r="AB97" s="211" t="s">
        <v>81</v>
      </c>
      <c r="AC97" s="211" t="s">
        <v>81</v>
      </c>
    </row>
    <row r="98" spans="2:29" x14ac:dyDescent="0.35">
      <c r="B98" s="211" t="s">
        <v>143</v>
      </c>
      <c r="AB98" s="211" t="s">
        <v>81</v>
      </c>
      <c r="AC98" s="211" t="s">
        <v>81</v>
      </c>
    </row>
    <row r="99" spans="2:29" x14ac:dyDescent="0.35">
      <c r="B99" s="211" t="s">
        <v>144</v>
      </c>
      <c r="AB99" s="211" t="s">
        <v>81</v>
      </c>
      <c r="AC99" s="211" t="s">
        <v>81</v>
      </c>
    </row>
    <row r="100" spans="2:29" x14ac:dyDescent="0.35">
      <c r="B100" s="211" t="s">
        <v>142</v>
      </c>
      <c r="AB100" s="211" t="s">
        <v>81</v>
      </c>
      <c r="AC100" s="211" t="s">
        <v>81</v>
      </c>
    </row>
    <row r="101" spans="2:29" x14ac:dyDescent="0.35">
      <c r="B101" s="211" t="s">
        <v>145</v>
      </c>
      <c r="AB101" s="211" t="s">
        <v>81</v>
      </c>
      <c r="AC101" s="211" t="s">
        <v>81</v>
      </c>
    </row>
    <row r="102" spans="2:29" x14ac:dyDescent="0.35">
      <c r="B102" s="211" t="s">
        <v>214</v>
      </c>
      <c r="AB102" s="211" t="s">
        <v>81</v>
      </c>
      <c r="AC102" s="211" t="s">
        <v>81</v>
      </c>
    </row>
    <row r="103" spans="2:29" x14ac:dyDescent="0.35">
      <c r="B103" s="211" t="s">
        <v>215</v>
      </c>
      <c r="AB103" s="211" t="s">
        <v>81</v>
      </c>
      <c r="AC103" s="211" t="s">
        <v>81</v>
      </c>
    </row>
    <row r="104" spans="2:29" x14ac:dyDescent="0.35">
      <c r="B104" s="211" t="s">
        <v>216</v>
      </c>
      <c r="AB104" s="211" t="s">
        <v>81</v>
      </c>
      <c r="AC104" s="211" t="s">
        <v>81</v>
      </c>
    </row>
    <row r="105" spans="2:29" x14ac:dyDescent="0.35">
      <c r="B105" s="211" t="s">
        <v>217</v>
      </c>
      <c r="AB105" s="211" t="s">
        <v>81</v>
      </c>
      <c r="AC105" s="211" t="s">
        <v>81</v>
      </c>
    </row>
    <row r="106" spans="2:29" x14ac:dyDescent="0.35">
      <c r="B106" s="211" t="s">
        <v>218</v>
      </c>
      <c r="AB106" s="211" t="s">
        <v>81</v>
      </c>
      <c r="AC106" s="211" t="s">
        <v>81</v>
      </c>
    </row>
    <row r="107" spans="2:29" x14ac:dyDescent="0.35">
      <c r="B107" s="211" t="s">
        <v>219</v>
      </c>
      <c r="AB107" s="211" t="s">
        <v>81</v>
      </c>
      <c r="AC107" s="211" t="s">
        <v>81</v>
      </c>
    </row>
    <row r="108" spans="2:29" x14ac:dyDescent="0.35">
      <c r="B108" s="211" t="s">
        <v>220</v>
      </c>
      <c r="AB108" s="211" t="s">
        <v>81</v>
      </c>
      <c r="AC108" s="211" t="s">
        <v>81</v>
      </c>
    </row>
    <row r="110" spans="2:29" x14ac:dyDescent="0.35">
      <c r="B110" s="211" t="s">
        <v>77</v>
      </c>
      <c r="AB110" s="211" t="s">
        <v>81</v>
      </c>
      <c r="AC110" s="211" t="s">
        <v>81</v>
      </c>
    </row>
    <row r="111" spans="2:29" x14ac:dyDescent="0.35">
      <c r="B111" s="211" t="s">
        <v>76</v>
      </c>
      <c r="AB111" s="211" t="s">
        <v>81</v>
      </c>
      <c r="AC111" s="211" t="s">
        <v>81</v>
      </c>
    </row>
    <row r="112" spans="2:29" x14ac:dyDescent="0.35">
      <c r="B112" s="211" t="s">
        <v>175</v>
      </c>
      <c r="AB112" s="211" t="s">
        <v>81</v>
      </c>
      <c r="AC112" s="211" t="s">
        <v>81</v>
      </c>
    </row>
    <row r="113" spans="2:29" x14ac:dyDescent="0.35">
      <c r="B113" s="211" t="s">
        <v>174</v>
      </c>
      <c r="AB113" s="211" t="s">
        <v>81</v>
      </c>
      <c r="AC113" s="211" t="s">
        <v>81</v>
      </c>
    </row>
    <row r="114" spans="2:29" x14ac:dyDescent="0.35">
      <c r="B114" s="211" t="s">
        <v>176</v>
      </c>
      <c r="AB114" s="211" t="s">
        <v>81</v>
      </c>
      <c r="AC114" s="211" t="s">
        <v>81</v>
      </c>
    </row>
    <row r="115" spans="2:29" x14ac:dyDescent="0.35">
      <c r="B115" s="211" t="s">
        <v>16</v>
      </c>
      <c r="AB115" s="211" t="s">
        <v>81</v>
      </c>
      <c r="AC115" s="211" t="s">
        <v>81</v>
      </c>
    </row>
    <row r="116" spans="2:29" x14ac:dyDescent="0.35">
      <c r="B116" s="211" t="s">
        <v>272</v>
      </c>
      <c r="AB116" s="211" t="s">
        <v>81</v>
      </c>
      <c r="AC116" s="211" t="s">
        <v>81</v>
      </c>
    </row>
    <row r="117" spans="2:29" x14ac:dyDescent="0.35">
      <c r="B117" s="211" t="s">
        <v>210</v>
      </c>
      <c r="AB117" s="211" t="s">
        <v>81</v>
      </c>
      <c r="AC117" s="211" t="s">
        <v>81</v>
      </c>
    </row>
    <row r="118" spans="2:29" x14ac:dyDescent="0.35">
      <c r="B118" s="211" t="s">
        <v>271</v>
      </c>
      <c r="AB118" s="211" t="s">
        <v>81</v>
      </c>
      <c r="AC118" s="211" t="s">
        <v>81</v>
      </c>
    </row>
    <row r="119" spans="2:29" x14ac:dyDescent="0.35">
      <c r="B119" s="211" t="s">
        <v>112</v>
      </c>
      <c r="AB119" s="211" t="s">
        <v>81</v>
      </c>
      <c r="AC119" s="211" t="s">
        <v>81</v>
      </c>
    </row>
    <row r="120" spans="2:29" x14ac:dyDescent="0.35">
      <c r="B120" s="211" t="s">
        <v>189</v>
      </c>
      <c r="AB120" s="211" t="s">
        <v>81</v>
      </c>
      <c r="AC120" s="211" t="s">
        <v>81</v>
      </c>
    </row>
    <row r="121" spans="2:29" x14ac:dyDescent="0.35">
      <c r="B121" s="211" t="s">
        <v>188</v>
      </c>
      <c r="AB121" s="211" t="s">
        <v>81</v>
      </c>
      <c r="AC121" s="211" t="s">
        <v>81</v>
      </c>
    </row>
    <row r="122" spans="2:29" x14ac:dyDescent="0.35">
      <c r="B122" s="211" t="s">
        <v>61</v>
      </c>
      <c r="AB122" s="211" t="s">
        <v>81</v>
      </c>
      <c r="AC122" s="211" t="s">
        <v>81</v>
      </c>
    </row>
    <row r="123" spans="2:29" x14ac:dyDescent="0.35">
      <c r="B123" s="211" t="s">
        <v>18</v>
      </c>
      <c r="AB123" s="211" t="s">
        <v>81</v>
      </c>
      <c r="AC123" s="211" t="s">
        <v>81</v>
      </c>
    </row>
  </sheetData>
  <sheetProtection algorithmName="SHA-512" hashValue="wd2/CCAM40qj582jWmwmcDU3voNALx/ROvc222YBfAY0beSpgCanbGYYkm7oWc6O93xE2fkrqZDJ6McQLc4wYQ==" saltValue="sNev+X82NdASbamB3m+WWA=="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00E1-AB37-400F-801E-7BB1D5DB4CF8}">
  <dimension ref="A1:AD532"/>
  <sheetViews>
    <sheetView workbookViewId="0">
      <selection activeCell="B8" sqref="B8"/>
    </sheetView>
  </sheetViews>
  <sheetFormatPr baseColWidth="10" defaultRowHeight="14.5" x14ac:dyDescent="0.35"/>
  <cols>
    <col min="1" max="1" width="20.453125" customWidth="1"/>
    <col min="2" max="4" width="22.7265625" customWidth="1"/>
    <col min="5" max="7" width="22.7265625" style="1" customWidth="1"/>
    <col min="8" max="8" width="21.453125" style="1" customWidth="1"/>
    <col min="9" max="9" width="21.26953125" style="1" customWidth="1"/>
    <col min="10" max="10" width="19.26953125" style="1" customWidth="1"/>
    <col min="11" max="11" width="13.81640625" style="1" customWidth="1"/>
    <col min="12" max="13" width="17.7265625" style="1" customWidth="1"/>
    <col min="14" max="14" width="11.54296875" style="1" customWidth="1"/>
    <col min="15" max="30" width="11.453125" style="1"/>
  </cols>
  <sheetData>
    <row r="1" spans="1:30" s="1" customFormat="1" x14ac:dyDescent="0.35"/>
    <row r="2" spans="1:30" s="1" customFormat="1" x14ac:dyDescent="0.35"/>
    <row r="3" spans="1:30" s="1" customFormat="1" ht="15.5" x14ac:dyDescent="0.35">
      <c r="L3" s="3" t="s">
        <v>183</v>
      </c>
    </row>
    <row r="4" spans="1:30" s="1" customFormat="1" x14ac:dyDescent="0.35"/>
    <row r="5" spans="1:30" s="1" customFormat="1" x14ac:dyDescent="0.35"/>
    <row r="6" spans="1:30" s="1" customFormat="1" x14ac:dyDescent="0.35"/>
    <row r="7" spans="1:30" s="1" customFormat="1" ht="21" x14ac:dyDescent="0.5">
      <c r="A7" s="347" t="s">
        <v>25</v>
      </c>
      <c r="B7" s="195" t="s">
        <v>163</v>
      </c>
      <c r="C7" s="197" t="s">
        <v>164</v>
      </c>
      <c r="E7" s="41" t="s">
        <v>184</v>
      </c>
      <c r="F7" s="42">
        <v>100</v>
      </c>
    </row>
    <row r="8" spans="1:30" x14ac:dyDescent="0.35">
      <c r="A8" s="348"/>
      <c r="B8" s="196" t="s">
        <v>99</v>
      </c>
      <c r="C8" s="198" t="s">
        <v>4</v>
      </c>
      <c r="D8" s="1"/>
      <c r="AA8"/>
      <c r="AB8"/>
      <c r="AC8"/>
      <c r="AD8"/>
    </row>
    <row r="9" spans="1:30" x14ac:dyDescent="0.35">
      <c r="A9" s="109" t="s">
        <v>80</v>
      </c>
      <c r="B9" s="120" t="str">
        <f>VLOOKUP(B8,'MTX CARAC'!$A$4:$O$122,12,0)</f>
        <v>Renta variable</v>
      </c>
      <c r="C9" s="110" t="str">
        <f>VLOOKUP(C8,'MTX CARAC'!$A$4:$O$122,12,0)</f>
        <v>Deuda</v>
      </c>
      <c r="D9" s="1"/>
      <c r="AA9"/>
      <c r="AB9"/>
      <c r="AC9"/>
      <c r="AD9"/>
    </row>
    <row r="10" spans="1:30" ht="41.25" customHeight="1" x14ac:dyDescent="0.35">
      <c r="A10" s="111" t="s">
        <v>133</v>
      </c>
      <c r="B10" s="120" t="str">
        <f>VLOOKUP($B8,'MTX CARAC'!$A$4:$P$123,13,0)</f>
        <v>Mayoritariamente en Renta Variable</v>
      </c>
      <c r="C10" s="110" t="str">
        <f>VLOOKUP(C8,'MTX CARAC'!$A$4:$P$123,13,0)</f>
        <v>Corto Plazo Gubernamental</v>
      </c>
      <c r="D10" s="1"/>
      <c r="E10" s="1" t="s">
        <v>274</v>
      </c>
      <c r="AA10"/>
      <c r="AB10"/>
      <c r="AC10"/>
      <c r="AD10"/>
    </row>
    <row r="11" spans="1:30" ht="43.5" x14ac:dyDescent="0.35">
      <c r="A11" s="112" t="s">
        <v>26</v>
      </c>
      <c r="B11" s="120" t="str">
        <f>VLOOKUP(B8,'MTX CARAC'!$A$2:$L$123,2,FALSE)</f>
        <v>Fondo de Fondos (50 a 80 RV)</v>
      </c>
      <c r="C11" s="110" t="str">
        <f>VLOOKUP(C8,'MTX CARAC'!$A$2:$L$123,2,FALSE)</f>
        <v>Deuda</v>
      </c>
      <c r="D11" s="1"/>
      <c r="E11" s="351" t="s">
        <v>260</v>
      </c>
      <c r="F11" s="352"/>
      <c r="G11" s="123" t="s">
        <v>273</v>
      </c>
      <c r="H11" s="96" t="s">
        <v>254</v>
      </c>
      <c r="I11" s="96" t="s">
        <v>255</v>
      </c>
      <c r="J11" s="96" t="s">
        <v>256</v>
      </c>
      <c r="K11" s="96" t="s">
        <v>257</v>
      </c>
      <c r="L11" s="102" t="s">
        <v>293</v>
      </c>
      <c r="M11" s="102" t="s">
        <v>294</v>
      </c>
      <c r="AA11"/>
      <c r="AB11"/>
      <c r="AC11"/>
      <c r="AD11"/>
    </row>
    <row r="12" spans="1:30" ht="29" x14ac:dyDescent="0.35">
      <c r="A12" s="111" t="s">
        <v>27</v>
      </c>
      <c r="B12" s="120" t="str">
        <f>VLOOKUP(B8,'MTX CARAC'!$A$2:$L$123,3,FALSE)</f>
        <v>Personas físicas mexicanas</v>
      </c>
      <c r="C12" s="110" t="str">
        <f>VLOOKUP(C8,'MTX CARAC'!$A$2:$L$123,3,FALSE)</f>
        <v>Personas físicas mexicanas</v>
      </c>
      <c r="D12" s="1"/>
      <c r="E12" s="351" t="s">
        <v>25</v>
      </c>
      <c r="F12" s="352"/>
      <c r="G12" s="124" t="s">
        <v>269</v>
      </c>
      <c r="H12" s="97">
        <f>+'MTX PRECIOS'!C203</f>
        <v>46112</v>
      </c>
      <c r="I12" s="97">
        <f>+'MTX PRECIOS'!D203</f>
        <v>46052</v>
      </c>
      <c r="J12" s="97">
        <f>+'MTX PRECIOS'!E203</f>
        <v>45777</v>
      </c>
      <c r="K12" s="97">
        <f>+'MTX PRECIOS'!F203</f>
        <v>45044</v>
      </c>
      <c r="L12" s="103"/>
      <c r="M12" s="103"/>
      <c r="AA12"/>
      <c r="AB12"/>
      <c r="AC12"/>
      <c r="AD12"/>
    </row>
    <row r="13" spans="1:30" x14ac:dyDescent="0.35">
      <c r="A13" s="111" t="s">
        <v>28</v>
      </c>
      <c r="B13" s="121" t="str">
        <f>VLOOKUP(B8,'MTX CARAC'!$A$2:$L$123,4,FALSE)</f>
        <v>Una acción</v>
      </c>
      <c r="C13" s="113" t="str">
        <f>VLOOKUP(C8,'MTX CARAC'!$A$2:$L$123,4,FALSE)</f>
        <v>Una acción</v>
      </c>
      <c r="D13" s="1"/>
      <c r="E13" s="351"/>
      <c r="F13" s="352"/>
      <c r="G13" s="124" t="s">
        <v>270</v>
      </c>
      <c r="H13" s="105">
        <f>+'MTX PRECIOS'!C204</f>
        <v>46142</v>
      </c>
      <c r="I13" s="105">
        <f>+'MTX PRECIOS'!D204</f>
        <v>46142</v>
      </c>
      <c r="J13" s="105">
        <f>+'MTX PRECIOS'!E204</f>
        <v>46142</v>
      </c>
      <c r="K13" s="105">
        <f>+'MTX PRECIOS'!F204</f>
        <v>46142</v>
      </c>
      <c r="L13" s="103"/>
      <c r="M13" s="103"/>
      <c r="AA13"/>
      <c r="AB13"/>
      <c r="AC13"/>
      <c r="AD13"/>
    </row>
    <row r="14" spans="1:30" x14ac:dyDescent="0.35">
      <c r="A14" s="111" t="s">
        <v>29</v>
      </c>
      <c r="B14" s="119" t="str">
        <f>VLOOKUP(B8,'MTX CARAC'!$A$2:$L$123,5,FALSE)</f>
        <v>Largo Plazo</v>
      </c>
      <c r="C14" s="114" t="str">
        <f>VLOOKUP(C8,'MTX CARAC'!$A$2:$L$123,5,FALSE)</f>
        <v>Corto Plazo</v>
      </c>
      <c r="D14" s="1"/>
      <c r="E14" s="357" t="str">
        <f>+B8</f>
        <v>MULTIFA BF-1</v>
      </c>
      <c r="F14" s="358"/>
      <c r="G14" s="102" t="str">
        <f>VLOOKUP(E14,GRAFICAS!$A$170:$B$278,2,0)</f>
        <v>Efectivo</v>
      </c>
      <c r="H14" s="98">
        <f>VLOOKUP($G14,$A$402:$E$404,2,0)</f>
        <v>5.2650439162106544E-2</v>
      </c>
      <c r="I14" s="98">
        <f>VLOOKUP($G14,$A$402:$E$404,3,0)</f>
        <v>3.6188007164158487E-2</v>
      </c>
      <c r="J14" s="98">
        <f>VLOOKUP($G14,$A$402:$E$404,4,0)</f>
        <v>0.15606883174906594</v>
      </c>
      <c r="K14" s="98">
        <f>VLOOKUP($G14,$A$402:$E$404,5,0)</f>
        <v>0.48705473608248528</v>
      </c>
      <c r="L14" s="98" t="str">
        <f>VLOOKUP($E14,'12M CALENDAR'!$B$3:$AC$139,27,0)</f>
        <v>No aplica</v>
      </c>
      <c r="M14" s="98" t="str">
        <f>VLOOKUP($E14,'12M CALENDAR'!$B$3:$AC$139,28,0)</f>
        <v>No aplica</v>
      </c>
      <c r="AA14"/>
      <c r="AB14"/>
      <c r="AC14"/>
      <c r="AD14"/>
    </row>
    <row r="15" spans="1:30" ht="15" customHeight="1" x14ac:dyDescent="0.35">
      <c r="A15" s="111" t="s">
        <v>30</v>
      </c>
      <c r="B15" s="120" t="str">
        <f>VLOOKUP(B8,'MTX CARAC'!$A$2:$L$123,6,FALSE)</f>
        <v>Mensual, capturar el último martes de cada mes</v>
      </c>
      <c r="C15" s="110" t="str">
        <f>VLOOKUP(C8,'MTX CARAC'!$A$2:$L$123,6,FALSE)</f>
        <v>Diario</v>
      </c>
      <c r="D15" s="1"/>
      <c r="E15" s="357" t="str">
        <f>+C8</f>
        <v>MULTIRE BF-1</v>
      </c>
      <c r="F15" s="358"/>
      <c r="G15" s="102" t="str">
        <f>VLOOKUP(E15,GRAFICAS!$A$170:$B$278,2,0)</f>
        <v>Anualizado Compuesto</v>
      </c>
      <c r="H15" s="98">
        <f>VLOOKUP($G15,$A$413:$E$415,2,0)</f>
        <v>5.1115171891407352E-2</v>
      </c>
      <c r="I15" s="98">
        <f>VLOOKUP($G15,$A$413:$E$415,3,0)</f>
        <v>4.4644845456947246E-2</v>
      </c>
      <c r="J15" s="98">
        <f>VLOOKUP($G15,$A$413:$E$415,4,0)</f>
        <v>5.4777062812326971E-2</v>
      </c>
      <c r="K15" s="98">
        <f>VLOOKUP($G15,$A$413:$E$415,5,0)</f>
        <v>7.8959597636941492E-2</v>
      </c>
      <c r="L15" s="98">
        <f>VLOOKUP($E15,'12M CALENDAR'!$B$3:$AC$139,27,0)</f>
        <v>8.823048337312378E-2</v>
      </c>
      <c r="M15" s="98">
        <f>VLOOKUP($E15,'12M CALENDAR'!$B$3:$AC$139,28,0)</f>
        <v>4.9005725175721659E-2</v>
      </c>
      <c r="AA15"/>
      <c r="AB15"/>
      <c r="AC15"/>
      <c r="AD15"/>
    </row>
    <row r="16" spans="1:30" x14ac:dyDescent="0.35">
      <c r="A16" s="111" t="s">
        <v>31</v>
      </c>
      <c r="B16" s="119" t="str">
        <f>VLOOKUP(B8,'MTX CARAC'!$A$2:$L$123,7,FALSE)</f>
        <v>48 hrs</v>
      </c>
      <c r="C16" s="114" t="str">
        <f>VLOOKUP(C8,'MTX CARAC'!$A$2:$L$123,7,FALSE)</f>
        <v>Mismo día</v>
      </c>
      <c r="D16" s="1"/>
      <c r="E16" s="122" t="s">
        <v>268</v>
      </c>
      <c r="M16" s="104" t="s">
        <v>275</v>
      </c>
      <c r="AA16"/>
      <c r="AB16"/>
      <c r="AC16"/>
      <c r="AD16"/>
    </row>
    <row r="17" spans="1:30" ht="43.5" x14ac:dyDescent="0.35">
      <c r="A17" s="115" t="s">
        <v>36</v>
      </c>
      <c r="B17" s="118">
        <f>VLOOKUP(B8,'MTX CARAC'!$A$2:$L$123,8,FALSE)</f>
        <v>0.52083333333333337</v>
      </c>
      <c r="C17" s="116">
        <f>VLOOKUP(C8,'MTX CARAC'!$A$2:$L$123,8,FALSE)</f>
        <v>0.5625</v>
      </c>
      <c r="D17" s="1"/>
      <c r="AA17"/>
      <c r="AB17"/>
      <c r="AC17"/>
      <c r="AD17"/>
    </row>
    <row r="18" spans="1:30" ht="18.75" customHeight="1" x14ac:dyDescent="0.35">
      <c r="A18" s="111" t="s">
        <v>33</v>
      </c>
      <c r="B18" s="119" t="str">
        <f>VLOOKUP(B8,'MTX CARAC'!$A$2:$L$123,9,FALSE)</f>
        <v>No aplica</v>
      </c>
      <c r="C18" s="114" t="str">
        <f>VLOOKUP(C8,'MTX CARAC'!$A$2:$L$123,9,FALSE)</f>
        <v>HR AAA / 1CP</v>
      </c>
      <c r="D18" s="1"/>
      <c r="M18" s="39"/>
      <c r="N18" s="39"/>
      <c r="O18" s="39"/>
      <c r="P18" s="39"/>
      <c r="Q18" s="39"/>
      <c r="R18" s="39"/>
      <c r="AA18"/>
      <c r="AB18"/>
      <c r="AC18"/>
      <c r="AD18"/>
    </row>
    <row r="19" spans="1:30" ht="18.75" customHeight="1" x14ac:dyDescent="0.35">
      <c r="A19" s="117" t="s">
        <v>39</v>
      </c>
      <c r="B19" s="125" t="str">
        <f>VLOOKUP(B8,'MTX CARAC'!$A$2:$L$123,12,FALSE)</f>
        <v>Renta variable</v>
      </c>
      <c r="C19" s="126" t="str">
        <f>VLOOKUP(C8,'MTX CARAC'!$A$2:$L$123,12,FALSE)</f>
        <v>Deuda</v>
      </c>
      <c r="D19" s="1"/>
      <c r="M19" s="39"/>
      <c r="N19" s="39"/>
      <c r="O19" s="39"/>
      <c r="P19" s="39"/>
      <c r="Q19" s="39"/>
      <c r="R19" s="39"/>
      <c r="AA19"/>
      <c r="AB19"/>
      <c r="AC19"/>
      <c r="AD19"/>
    </row>
    <row r="20" spans="1:30" ht="18.75" customHeight="1" x14ac:dyDescent="0.35">
      <c r="A20" s="1"/>
      <c r="B20" s="1"/>
      <c r="C20" s="1"/>
      <c r="D20" s="1"/>
      <c r="M20" s="39"/>
      <c r="N20" s="39"/>
      <c r="O20" s="39"/>
      <c r="P20" s="39"/>
      <c r="Q20" s="39"/>
      <c r="R20" s="39"/>
      <c r="AA20"/>
      <c r="AB20"/>
      <c r="AC20"/>
      <c r="AD20"/>
    </row>
    <row r="21" spans="1:30" ht="15" customHeight="1" x14ac:dyDescent="0.35">
      <c r="A21" s="1"/>
      <c r="B21" s="1"/>
      <c r="C21" s="1"/>
      <c r="D21" s="1"/>
      <c r="M21" s="39"/>
      <c r="N21" s="39"/>
      <c r="O21" s="39"/>
      <c r="P21" s="39"/>
      <c r="Q21" s="39"/>
      <c r="R21" s="39"/>
      <c r="AA21"/>
      <c r="AB21"/>
      <c r="AC21"/>
      <c r="AD21"/>
    </row>
    <row r="22" spans="1:30" s="1" customFormat="1" ht="30" customHeight="1" x14ac:dyDescent="0.35">
      <c r="A22" s="353" t="s">
        <v>280</v>
      </c>
      <c r="B22" s="353"/>
      <c r="C22" s="353"/>
      <c r="D22" s="353"/>
      <c r="E22" s="353"/>
      <c r="F22" s="353"/>
      <c r="G22" s="353"/>
      <c r="H22" s="353"/>
      <c r="I22" s="353"/>
      <c r="J22" s="353"/>
      <c r="K22" s="353"/>
      <c r="L22" s="353"/>
      <c r="M22" s="353"/>
    </row>
    <row r="23" spans="1:30" s="1" customFormat="1" ht="15" customHeight="1" x14ac:dyDescent="0.35">
      <c r="A23" s="29"/>
      <c r="B23" s="30"/>
      <c r="C23" s="30"/>
      <c r="D23" s="30"/>
      <c r="E23" s="30"/>
      <c r="F23" s="30"/>
      <c r="G23" s="30"/>
    </row>
    <row r="24" spans="1:30" s="1" customFormat="1" ht="15" customHeight="1" x14ac:dyDescent="0.35">
      <c r="A24" s="29"/>
      <c r="B24" s="30"/>
      <c r="C24" s="30"/>
      <c r="D24" s="30"/>
      <c r="E24" s="30"/>
      <c r="F24" s="30"/>
      <c r="G24" s="30"/>
    </row>
    <row r="25" spans="1:30" s="1" customFormat="1" x14ac:dyDescent="0.35"/>
    <row r="61" spans="10:12" s="1" customFormat="1" x14ac:dyDescent="0.35"/>
    <row r="62" spans="10:12" s="1" customFormat="1" x14ac:dyDescent="0.35"/>
    <row r="63" spans="10:12" s="1" customFormat="1" x14ac:dyDescent="0.35"/>
    <row r="64" spans="10:12" s="1" customFormat="1" x14ac:dyDescent="0.35">
      <c r="J64" s="25"/>
      <c r="K64" s="26"/>
      <c r="L64" s="26"/>
    </row>
    <row r="65" spans="1:13" s="1" customFormat="1" x14ac:dyDescent="0.35">
      <c r="J65" s="25"/>
      <c r="K65" s="26"/>
      <c r="L65" s="26"/>
    </row>
    <row r="66" spans="1:13" s="1" customFormat="1" x14ac:dyDescent="0.35">
      <c r="J66" s="25"/>
      <c r="K66" s="26"/>
      <c r="L66" s="26"/>
    </row>
    <row r="67" spans="1:13" s="1" customFormat="1" ht="18.5" x14ac:dyDescent="0.45">
      <c r="A67" s="28" t="s">
        <v>170</v>
      </c>
      <c r="J67" s="25"/>
      <c r="K67" s="26"/>
      <c r="L67" s="26"/>
    </row>
    <row r="68" spans="1:13" s="1" customFormat="1" x14ac:dyDescent="0.35">
      <c r="C68" s="31">
        <f>HLOOKUP(C70,'MTX PRECIOS'!$A$95:$EG$96,2,0)</f>
        <v>90</v>
      </c>
      <c r="D68" s="31">
        <f>HLOOKUP(D70,'MTX PRECIOS'!$A$95:$EG$96,2,0)</f>
        <v>16</v>
      </c>
      <c r="J68" s="25"/>
      <c r="K68" s="26"/>
      <c r="L68" s="26"/>
    </row>
    <row r="69" spans="1:13" s="1" customFormat="1" x14ac:dyDescent="0.35">
      <c r="A69" s="27"/>
      <c r="B69" s="22"/>
      <c r="C69" s="349" t="s">
        <v>171</v>
      </c>
      <c r="D69" s="349"/>
      <c r="E69" s="350" t="s">
        <v>172</v>
      </c>
      <c r="F69" s="350"/>
      <c r="G69" s="355" t="s">
        <v>186</v>
      </c>
      <c r="H69" s="355"/>
      <c r="I69" s="356" t="s">
        <v>185</v>
      </c>
      <c r="J69" s="356"/>
      <c r="K69" s="356"/>
      <c r="L69" s="354" t="s">
        <v>263</v>
      </c>
      <c r="M69" s="354"/>
    </row>
    <row r="70" spans="1:13" s="1" customFormat="1" x14ac:dyDescent="0.35">
      <c r="A70" s="32"/>
      <c r="B70" s="52" t="s">
        <v>173</v>
      </c>
      <c r="C70" s="48" t="str">
        <f>+B8</f>
        <v>MULTIFA BF-1</v>
      </c>
      <c r="D70" s="48" t="str">
        <f>+C8</f>
        <v>MULTIRE BF-1</v>
      </c>
      <c r="E70" s="48" t="str">
        <f t="shared" ref="E70:J70" si="0">+C70</f>
        <v>MULTIFA BF-1</v>
      </c>
      <c r="F70" s="48" t="str">
        <f t="shared" si="0"/>
        <v>MULTIRE BF-1</v>
      </c>
      <c r="G70" s="49" t="str">
        <f t="shared" si="0"/>
        <v>MULTIFA BF-1</v>
      </c>
      <c r="H70" s="49" t="str">
        <f t="shared" si="0"/>
        <v>MULTIRE BF-1</v>
      </c>
      <c r="I70" s="48" t="str">
        <f t="shared" si="0"/>
        <v>MULTIFA BF-1</v>
      </c>
      <c r="J70" s="57" t="str">
        <f t="shared" si="0"/>
        <v>MULTIRE BF-1</v>
      </c>
      <c r="K70" s="58" t="s">
        <v>187</v>
      </c>
      <c r="L70" s="49" t="str">
        <f>+G70</f>
        <v>MULTIFA BF-1</v>
      </c>
      <c r="M70" s="49" t="str">
        <f>+H70</f>
        <v>MULTIRE BF-1</v>
      </c>
    </row>
    <row r="71" spans="1:13" s="1" customFormat="1" x14ac:dyDescent="0.35">
      <c r="A71" s="33">
        <v>0</v>
      </c>
      <c r="B71" s="34">
        <v>45044</v>
      </c>
      <c r="C71" s="35">
        <f>VLOOKUP($B71,'MTX PRECIOS'!$A$5:$EC$94,C$68,0)</f>
        <v>1.2998190000000001</v>
      </c>
      <c r="D71" s="36">
        <f>VLOOKUP($B71,'MTX PRECIOS'!$A$5:$EC$94,D$68,0)</f>
        <v>5.4640029999999999</v>
      </c>
      <c r="E71" s="37">
        <f>+F7</f>
        <v>100</v>
      </c>
      <c r="F71" s="37">
        <f>+F7</f>
        <v>100</v>
      </c>
      <c r="G71" s="43"/>
      <c r="H71" s="43"/>
      <c r="I71" s="32"/>
      <c r="J71" s="34"/>
      <c r="K71" s="56"/>
      <c r="L71" s="47"/>
      <c r="M71" s="47"/>
    </row>
    <row r="72" spans="1:13" s="1" customFormat="1" x14ac:dyDescent="0.35">
      <c r="A72" s="33">
        <f>+A71+1</f>
        <v>1</v>
      </c>
      <c r="B72" s="34">
        <f>VLOOKUP(B71,'MTX PRECIOS'!$EB$5:$EC$94,2,0)</f>
        <v>45077</v>
      </c>
      <c r="C72" s="35">
        <f>VLOOKUP($B72,'MTX PRECIOS'!$A$5:$EC$94,C$68,0)</f>
        <v>1.2885059999999999</v>
      </c>
      <c r="D72" s="36">
        <f>VLOOKUP($B72,'MTX PRECIOS'!$A$5:$EC$94,D$68,0)</f>
        <v>5.5076450000000001</v>
      </c>
      <c r="E72" s="37">
        <f t="shared" ref="E72:E107" si="1">+(C72/C71)*E71</f>
        <v>99.129648050997872</v>
      </c>
      <c r="F72" s="37">
        <f t="shared" ref="F72:F107" si="2">+(D72/D71)*F71</f>
        <v>100.79871844872706</v>
      </c>
      <c r="G72" s="47">
        <f>+C72/C71-1</f>
        <v>-8.7035194900213497E-3</v>
      </c>
      <c r="H72" s="47">
        <f>+D72/D71-1</f>
        <v>7.9871844872705378E-3</v>
      </c>
      <c r="I72" s="47">
        <f>+G72*360/K72</f>
        <v>-9.4947485345687449E-2</v>
      </c>
      <c r="J72" s="47">
        <f>+H72*360/K72</f>
        <v>8.7132921679314954E-2</v>
      </c>
      <c r="K72" s="45">
        <f>+B72-B71</f>
        <v>33</v>
      </c>
      <c r="L72" s="47">
        <f>+((C72/C71)^(360/$K72))-1</f>
        <v>-9.0957187281421104E-2</v>
      </c>
      <c r="M72" s="47">
        <f>+((D72/D71)^(360/$K72))-1</f>
        <v>9.0664114621602288E-2</v>
      </c>
    </row>
    <row r="73" spans="1:13" s="1" customFormat="1" x14ac:dyDescent="0.35">
      <c r="A73" s="33">
        <f t="shared" ref="A73:A105" si="3">+A72+1</f>
        <v>2</v>
      </c>
      <c r="B73" s="34">
        <f>VLOOKUP(B72,'MTX PRECIOS'!$EB$5:$EC$94,2,0)</f>
        <v>45107</v>
      </c>
      <c r="C73" s="35">
        <f>VLOOKUP($B73,'MTX PRECIOS'!$A$5:$EC$94,C$68,0)</f>
        <v>1.3131919999999999</v>
      </c>
      <c r="D73" s="36">
        <f>VLOOKUP($B73,'MTX PRECIOS'!$A$5:$EC$94,D$68,0)</f>
        <v>5.5540849999999997</v>
      </c>
      <c r="E73" s="37">
        <f t="shared" si="1"/>
        <v>101.02883555325779</v>
      </c>
      <c r="F73" s="37">
        <f t="shared" si="2"/>
        <v>101.64864477563428</v>
      </c>
      <c r="G73" s="47">
        <f t="shared" ref="G73:G107" si="4">+C73/C72-1</f>
        <v>1.9158622466639574E-2</v>
      </c>
      <c r="H73" s="47">
        <f t="shared" ref="H73:H107" si="5">+D73/D72-1</f>
        <v>8.4319160003958338E-3</v>
      </c>
      <c r="I73" s="47">
        <f t="shared" ref="I73:I108" si="6">+G73*360/K73</f>
        <v>0.22990346959967489</v>
      </c>
      <c r="J73" s="47">
        <f t="shared" ref="J73:J108" si="7">+H73*360/K73</f>
        <v>0.10118299200475001</v>
      </c>
      <c r="K73" s="45">
        <f t="shared" ref="K73:K107" si="8">+B73-B72</f>
        <v>30</v>
      </c>
      <c r="L73" s="47">
        <f t="shared" ref="L73:L107" si="9">+((C73/C72)^(360/$K73))-1</f>
        <v>0.25574482617275951</v>
      </c>
      <c r="M73" s="47">
        <f t="shared" ref="M73:M107" si="10">+((D73/D72)^(360/$K73))-1</f>
        <v>0.10600983076875892</v>
      </c>
    </row>
    <row r="74" spans="1:13" s="1" customFormat="1" x14ac:dyDescent="0.35">
      <c r="A74" s="33">
        <f t="shared" si="3"/>
        <v>3</v>
      </c>
      <c r="B74" s="34">
        <f>VLOOKUP(B73,'MTX PRECIOS'!$EB$5:$EC$94,2,0)</f>
        <v>45138</v>
      </c>
      <c r="C74" s="35">
        <f>VLOOKUP($B74,'MTX PRECIOS'!$A$5:$EC$94,C$68,0)</f>
        <v>1.3303069999999999</v>
      </c>
      <c r="D74" s="36">
        <f>VLOOKUP($B74,'MTX PRECIOS'!$A$5:$EC$94,D$68,0)</f>
        <v>5.5964109999999998</v>
      </c>
      <c r="E74" s="37">
        <f t="shared" si="1"/>
        <v>102.34555734298389</v>
      </c>
      <c r="F74" s="37">
        <f t="shared" si="2"/>
        <v>102.4232783181122</v>
      </c>
      <c r="G74" s="47">
        <f t="shared" si="4"/>
        <v>1.3033128438187269E-2</v>
      </c>
      <c r="H74" s="47">
        <f t="shared" si="5"/>
        <v>7.6206971985484095E-3</v>
      </c>
      <c r="I74" s="47">
        <f t="shared" si="6"/>
        <v>0.15135245928217475</v>
      </c>
      <c r="J74" s="47">
        <f t="shared" si="7"/>
        <v>8.8498419079917012E-2</v>
      </c>
      <c r="K74" s="45">
        <f t="shared" si="8"/>
        <v>31</v>
      </c>
      <c r="L74" s="47">
        <f t="shared" si="9"/>
        <v>0.16226960321856843</v>
      </c>
      <c r="M74" s="47">
        <f t="shared" si="10"/>
        <v>9.2166035256547207E-2</v>
      </c>
    </row>
    <row r="75" spans="1:13" s="1" customFormat="1" x14ac:dyDescent="0.35">
      <c r="A75" s="33">
        <f t="shared" si="3"/>
        <v>4</v>
      </c>
      <c r="B75" s="34">
        <f>VLOOKUP(B74,'MTX PRECIOS'!$EB$5:$EC$94,2,0)</f>
        <v>45169</v>
      </c>
      <c r="C75" s="35">
        <f>VLOOKUP($B75,'MTX PRECIOS'!$A$5:$EC$94,C$68,0)</f>
        <v>1.3194429999999999</v>
      </c>
      <c r="D75" s="36">
        <f>VLOOKUP($B75,'MTX PRECIOS'!$A$5:$EC$94,D$68,0)</f>
        <v>5.6414619999999998</v>
      </c>
      <c r="E75" s="37">
        <f t="shared" si="1"/>
        <v>101.50974866500643</v>
      </c>
      <c r="F75" s="37">
        <f t="shared" si="2"/>
        <v>103.24778372193427</v>
      </c>
      <c r="G75" s="47">
        <f t="shared" si="4"/>
        <v>-8.1665359950747751E-3</v>
      </c>
      <c r="H75" s="47">
        <f t="shared" si="5"/>
        <v>8.0499806036404831E-3</v>
      </c>
      <c r="I75" s="47">
        <f t="shared" si="6"/>
        <v>-9.483719220086835E-2</v>
      </c>
      <c r="J75" s="47">
        <f t="shared" si="7"/>
        <v>9.3483645719695932E-2</v>
      </c>
      <c r="K75" s="45">
        <f t="shared" si="8"/>
        <v>31</v>
      </c>
      <c r="L75" s="47">
        <f t="shared" si="9"/>
        <v>-9.0833068976400533E-2</v>
      </c>
      <c r="M75" s="47">
        <f t="shared" si="10"/>
        <v>9.7581784561707741E-2</v>
      </c>
    </row>
    <row r="76" spans="1:13" s="1" customFormat="1" x14ac:dyDescent="0.35">
      <c r="A76" s="33">
        <f t="shared" si="3"/>
        <v>5</v>
      </c>
      <c r="B76" s="34">
        <f>VLOOKUP(B75,'MTX PRECIOS'!$EB$5:$EC$94,2,0)</f>
        <v>45198</v>
      </c>
      <c r="C76" s="35">
        <f>VLOOKUP($B76,'MTX PRECIOS'!$A$5:$EC$94,C$68,0)</f>
        <v>1.291906</v>
      </c>
      <c r="D76" s="36">
        <f>VLOOKUP($B76,'MTX PRECIOS'!$A$5:$EC$94,D$68,0)</f>
        <v>5.6873180000000003</v>
      </c>
      <c r="E76" s="37">
        <f t="shared" si="1"/>
        <v>99.391222931808201</v>
      </c>
      <c r="F76" s="37">
        <f t="shared" si="2"/>
        <v>104.08702191415342</v>
      </c>
      <c r="G76" s="47">
        <f t="shared" si="4"/>
        <v>-2.0870170215765205E-2</v>
      </c>
      <c r="H76" s="47">
        <f t="shared" si="5"/>
        <v>8.128389413949888E-3</v>
      </c>
      <c r="I76" s="47">
        <f t="shared" si="6"/>
        <v>-0.25907797509225772</v>
      </c>
      <c r="J76" s="47">
        <f t="shared" si="7"/>
        <v>0.10090414444903309</v>
      </c>
      <c r="K76" s="45">
        <f t="shared" si="8"/>
        <v>29</v>
      </c>
      <c r="L76" s="47">
        <f t="shared" si="9"/>
        <v>-0.23035021294478064</v>
      </c>
      <c r="M76" s="47">
        <f t="shared" si="10"/>
        <v>0.10571950538630448</v>
      </c>
    </row>
    <row r="77" spans="1:13" s="1" customFormat="1" x14ac:dyDescent="0.35">
      <c r="A77" s="33">
        <f t="shared" si="3"/>
        <v>6</v>
      </c>
      <c r="B77" s="34">
        <f>VLOOKUP(B76,'MTX PRECIOS'!$EB$5:$EC$94,2,0)</f>
        <v>45230</v>
      </c>
      <c r="C77" s="35">
        <f>VLOOKUP($B77,'MTX PRECIOS'!$A$5:$EC$94,C$68,0)</f>
        <v>1.2984059999999999</v>
      </c>
      <c r="D77" s="36">
        <f>VLOOKUP($B77,'MTX PRECIOS'!$A$5:$EC$94,D$68,0)</f>
        <v>5.7322930000000003</v>
      </c>
      <c r="E77" s="37">
        <f t="shared" si="1"/>
        <v>99.891292556886754</v>
      </c>
      <c r="F77" s="37">
        <f t="shared" si="2"/>
        <v>104.91013639633802</v>
      </c>
      <c r="G77" s="47">
        <f t="shared" si="4"/>
        <v>5.0313258085339374E-3</v>
      </c>
      <c r="H77" s="47">
        <f t="shared" si="5"/>
        <v>7.9079453619439466E-3</v>
      </c>
      <c r="I77" s="47">
        <f t="shared" si="6"/>
        <v>5.6602415346006796E-2</v>
      </c>
      <c r="J77" s="47">
        <f t="shared" si="7"/>
        <v>8.8964385321869399E-2</v>
      </c>
      <c r="K77" s="45">
        <f t="shared" si="8"/>
        <v>32</v>
      </c>
      <c r="L77" s="47">
        <f t="shared" si="9"/>
        <v>5.8084818111414638E-2</v>
      </c>
      <c r="M77" s="47">
        <f t="shared" si="10"/>
        <v>9.2659317928800222E-2</v>
      </c>
    </row>
    <row r="78" spans="1:13" s="1" customFormat="1" x14ac:dyDescent="0.35">
      <c r="A78" s="33">
        <f t="shared" si="3"/>
        <v>7</v>
      </c>
      <c r="B78" s="34">
        <f>VLOOKUP(B77,'MTX PRECIOS'!$EB$5:$EC$94,2,0)</f>
        <v>45260</v>
      </c>
      <c r="C78" s="35">
        <f>VLOOKUP($B78,'MTX PRECIOS'!$A$5:$EC$94,C$68,0)</f>
        <v>1.3580319999999999</v>
      </c>
      <c r="D78" s="36">
        <f>VLOOKUP($B78,'MTX PRECIOS'!$A$5:$EC$94,D$68,0)</f>
        <v>5.7788940000000002</v>
      </c>
      <c r="E78" s="37">
        <f t="shared" si="1"/>
        <v>104.47854662841516</v>
      </c>
      <c r="F78" s="37">
        <f t="shared" si="2"/>
        <v>105.76300928092466</v>
      </c>
      <c r="G78" s="47">
        <f t="shared" si="4"/>
        <v>4.5922461849375207E-2</v>
      </c>
      <c r="H78" s="47">
        <f t="shared" si="5"/>
        <v>8.1295565317405227E-3</v>
      </c>
      <c r="I78" s="47">
        <f t="shared" si="6"/>
        <v>0.55106954219250248</v>
      </c>
      <c r="J78" s="47">
        <f t="shared" si="7"/>
        <v>9.7554678380886273E-2</v>
      </c>
      <c r="K78" s="45">
        <f t="shared" si="8"/>
        <v>30</v>
      </c>
      <c r="L78" s="47">
        <f t="shared" si="9"/>
        <v>0.71393314768104754</v>
      </c>
      <c r="M78" s="47">
        <f t="shared" si="10"/>
        <v>0.10203698992776933</v>
      </c>
    </row>
    <row r="79" spans="1:13" s="1" customFormat="1" x14ac:dyDescent="0.35">
      <c r="A79" s="33">
        <f t="shared" si="3"/>
        <v>8</v>
      </c>
      <c r="B79" s="34">
        <f>VLOOKUP(B78,'MTX PRECIOS'!$EB$5:$EC$94,2,0)</f>
        <v>45289</v>
      </c>
      <c r="C79" s="35">
        <f>VLOOKUP($B79,'MTX PRECIOS'!$A$5:$EC$94,C$68,0)</f>
        <v>1.388034</v>
      </c>
      <c r="D79" s="36">
        <f>VLOOKUP($B79,'MTX PRECIOS'!$A$5:$EC$94,D$68,0)</f>
        <v>5.8275459999999999</v>
      </c>
      <c r="E79" s="37">
        <f t="shared" si="1"/>
        <v>106.78671415020089</v>
      </c>
      <c r="F79" s="37">
        <f t="shared" si="2"/>
        <v>106.65341874812296</v>
      </c>
      <c r="G79" s="47">
        <f t="shared" si="4"/>
        <v>2.2092262921639572E-2</v>
      </c>
      <c r="H79" s="47">
        <f t="shared" si="5"/>
        <v>8.4189119925022204E-3</v>
      </c>
      <c r="I79" s="47">
        <f t="shared" si="6"/>
        <v>0.27424878109621537</v>
      </c>
      <c r="J79" s="47">
        <f t="shared" si="7"/>
        <v>0.10451063163106204</v>
      </c>
      <c r="K79" s="45">
        <f t="shared" si="8"/>
        <v>29</v>
      </c>
      <c r="L79" s="47">
        <f t="shared" si="9"/>
        <v>0.31162035347958383</v>
      </c>
      <c r="M79" s="47">
        <f t="shared" si="10"/>
        <v>0.10968162783249658</v>
      </c>
    </row>
    <row r="80" spans="1:13" s="1" customFormat="1" x14ac:dyDescent="0.35">
      <c r="A80" s="33">
        <f t="shared" si="3"/>
        <v>9</v>
      </c>
      <c r="B80" s="34">
        <f>VLOOKUP(B79,'MTX PRECIOS'!$EB$5:$EC$94,2,0)</f>
        <v>45322</v>
      </c>
      <c r="C80" s="35">
        <f>VLOOKUP($B80,'MTX PRECIOS'!$A$5:$EC$94,C$68,0)</f>
        <v>1.4072260000000001</v>
      </c>
      <c r="D80" s="36">
        <f>VLOOKUP($B80,'MTX PRECIOS'!$A$5:$EC$94,D$68,0)</f>
        <v>5.8717509999999997</v>
      </c>
      <c r="E80" s="37">
        <f t="shared" si="1"/>
        <v>108.26322741858674</v>
      </c>
      <c r="F80" s="37">
        <f t="shared" si="2"/>
        <v>107.46244099792771</v>
      </c>
      <c r="G80" s="47">
        <f t="shared" si="4"/>
        <v>1.382675064155503E-2</v>
      </c>
      <c r="H80" s="47">
        <f t="shared" si="5"/>
        <v>7.5855257084198602E-3</v>
      </c>
      <c r="I80" s="47">
        <f t="shared" si="6"/>
        <v>0.15083727972605487</v>
      </c>
      <c r="J80" s="47">
        <f t="shared" si="7"/>
        <v>8.2751189546398471E-2</v>
      </c>
      <c r="K80" s="45">
        <f t="shared" si="8"/>
        <v>33</v>
      </c>
      <c r="L80" s="47">
        <f t="shared" si="9"/>
        <v>0.1616065440416401</v>
      </c>
      <c r="M80" s="47">
        <f t="shared" si="10"/>
        <v>8.5932334094232177E-2</v>
      </c>
    </row>
    <row r="81" spans="1:13" s="1" customFormat="1" x14ac:dyDescent="0.35">
      <c r="A81" s="33">
        <f t="shared" si="3"/>
        <v>10</v>
      </c>
      <c r="B81" s="34">
        <f>VLOOKUP(B80,'MTX PRECIOS'!$EB$5:$EC$94,2,0)</f>
        <v>45351</v>
      </c>
      <c r="C81" s="35">
        <f>VLOOKUP($B81,'MTX PRECIOS'!$A$5:$EC$94,C$68,0)</f>
        <v>1.4418740000000001</v>
      </c>
      <c r="D81" s="36">
        <f>VLOOKUP($B81,'MTX PRECIOS'!$A$5:$EC$94,D$68,0)</f>
        <v>5.9146989999999997</v>
      </c>
      <c r="E81" s="37">
        <f t="shared" si="1"/>
        <v>110.92882932162092</v>
      </c>
      <c r="F81" s="37">
        <f t="shared" si="2"/>
        <v>108.24845813591246</v>
      </c>
      <c r="G81" s="47">
        <f t="shared" si="4"/>
        <v>2.4621489369866634E-2</v>
      </c>
      <c r="H81" s="47">
        <f t="shared" si="5"/>
        <v>7.3143428595661142E-3</v>
      </c>
      <c r="I81" s="47">
        <f t="shared" si="6"/>
        <v>0.30564607493627544</v>
      </c>
      <c r="J81" s="47">
        <f t="shared" si="7"/>
        <v>9.079873894633797E-2</v>
      </c>
      <c r="K81" s="45">
        <f t="shared" si="8"/>
        <v>29</v>
      </c>
      <c r="L81" s="47">
        <f t="shared" si="9"/>
        <v>0.35248546961952343</v>
      </c>
      <c r="M81" s="47">
        <f t="shared" si="10"/>
        <v>9.4686786684450741E-2</v>
      </c>
    </row>
    <row r="82" spans="1:13" s="1" customFormat="1" x14ac:dyDescent="0.35">
      <c r="A82" s="33">
        <f t="shared" si="3"/>
        <v>11</v>
      </c>
      <c r="B82" s="34">
        <f>VLOOKUP(B81,'MTX PRECIOS'!$EB$5:$EC$94,2,0)</f>
        <v>45378</v>
      </c>
      <c r="C82" s="35">
        <f>VLOOKUP($B82,'MTX PRECIOS'!$A$5:$EC$94,C$68,0)</f>
        <v>1.441614</v>
      </c>
      <c r="D82" s="36">
        <f>VLOOKUP($B82,'MTX PRECIOS'!$A$5:$EC$94,D$68,0)</f>
        <v>5.9607869999999998</v>
      </c>
      <c r="E82" s="37">
        <f t="shared" si="1"/>
        <v>110.90882653661777</v>
      </c>
      <c r="F82" s="37">
        <f t="shared" si="2"/>
        <v>109.09194229944605</v>
      </c>
      <c r="G82" s="47">
        <f t="shared" si="4"/>
        <v>-1.8032088795560952E-4</v>
      </c>
      <c r="H82" s="47">
        <f t="shared" si="5"/>
        <v>7.7921124980324663E-3</v>
      </c>
      <c r="I82" s="47">
        <f t="shared" si="6"/>
        <v>-2.4042785060747938E-3</v>
      </c>
      <c r="J82" s="47">
        <f t="shared" si="7"/>
        <v>0.10389483330709955</v>
      </c>
      <c r="K82" s="45">
        <f t="shared" si="8"/>
        <v>27</v>
      </c>
      <c r="L82" s="47">
        <f t="shared" si="9"/>
        <v>-2.4016068197023621E-3</v>
      </c>
      <c r="M82" s="47">
        <f t="shared" si="10"/>
        <v>0.10903708041199622</v>
      </c>
    </row>
    <row r="83" spans="1:13" s="1" customFormat="1" x14ac:dyDescent="0.35">
      <c r="A83" s="33">
        <f t="shared" si="3"/>
        <v>12</v>
      </c>
      <c r="B83" s="34">
        <f>VLOOKUP(B82,'MTX PRECIOS'!$EB$5:$EC$94,2,0)</f>
        <v>45412</v>
      </c>
      <c r="C83" s="35">
        <f>VLOOKUP($B83,'MTX PRECIOS'!$A$5:$EC$94,C$68,0)</f>
        <v>1.42717</v>
      </c>
      <c r="D83" s="36">
        <f>VLOOKUP($B83,'MTX PRECIOS'!$A$5:$EC$94,D$68,0)</f>
        <v>6.0043040000000003</v>
      </c>
      <c r="E83" s="37">
        <f t="shared" si="1"/>
        <v>109.79759489590472</v>
      </c>
      <c r="F83" s="37">
        <f t="shared" si="2"/>
        <v>109.88837304811145</v>
      </c>
      <c r="G83" s="47">
        <f t="shared" si="4"/>
        <v>-1.0019325561488657E-2</v>
      </c>
      <c r="H83" s="47">
        <f t="shared" si="5"/>
        <v>7.3005460520565446E-3</v>
      </c>
      <c r="I83" s="47">
        <f t="shared" si="6"/>
        <v>-0.1060869765334093</v>
      </c>
      <c r="J83" s="47">
        <f t="shared" si="7"/>
        <v>7.729989937471636E-2</v>
      </c>
      <c r="K83" s="45">
        <f t="shared" si="8"/>
        <v>34</v>
      </c>
      <c r="L83" s="47">
        <f t="shared" si="9"/>
        <v>-0.10113463207438578</v>
      </c>
      <c r="M83" s="47">
        <f t="shared" si="10"/>
        <v>8.0062704821526109E-2</v>
      </c>
    </row>
    <row r="84" spans="1:13" s="1" customFormat="1" x14ac:dyDescent="0.35">
      <c r="A84" s="33">
        <f t="shared" si="3"/>
        <v>13</v>
      </c>
      <c r="B84" s="34">
        <f>VLOOKUP(B83,'MTX PRECIOS'!$EB$5:$EC$94,2,0)</f>
        <v>45443</v>
      </c>
      <c r="C84" s="35">
        <f>VLOOKUP($B84,'MTX PRECIOS'!$A$5:$EC$94,C$68,0)</f>
        <v>1.4673830000000001</v>
      </c>
      <c r="D84" s="36">
        <f>VLOOKUP($B84,'MTX PRECIOS'!$A$5:$EC$94,D$68,0)</f>
        <v>6.0519600000000002</v>
      </c>
      <c r="E84" s="37">
        <f t="shared" si="1"/>
        <v>112.89133333179464</v>
      </c>
      <c r="F84" s="37">
        <f t="shared" si="2"/>
        <v>110.76055412121846</v>
      </c>
      <c r="G84" s="47">
        <f t="shared" si="4"/>
        <v>2.8176741383296955E-2</v>
      </c>
      <c r="H84" s="47">
        <f t="shared" si="5"/>
        <v>7.9369732112164471E-3</v>
      </c>
      <c r="I84" s="47">
        <f t="shared" si="6"/>
        <v>0.32721377090280335</v>
      </c>
      <c r="J84" s="47">
        <f t="shared" si="7"/>
        <v>9.2171301807674869E-2</v>
      </c>
      <c r="K84" s="45">
        <f t="shared" si="8"/>
        <v>31</v>
      </c>
      <c r="L84" s="47">
        <f t="shared" si="9"/>
        <v>0.38083538455502763</v>
      </c>
      <c r="M84" s="47">
        <f t="shared" si="10"/>
        <v>9.6153732142598702E-2</v>
      </c>
    </row>
    <row r="85" spans="1:13" s="1" customFormat="1" x14ac:dyDescent="0.35">
      <c r="A85" s="33">
        <f t="shared" si="3"/>
        <v>14</v>
      </c>
      <c r="B85" s="34">
        <f>VLOOKUP(B84,'MTX PRECIOS'!$EB$5:$EC$94,2,0)</f>
        <v>45471</v>
      </c>
      <c r="C85" s="35">
        <f>VLOOKUP($B85,'MTX PRECIOS'!$A$5:$EC$94,C$68,0)</f>
        <v>1.5705960000000001</v>
      </c>
      <c r="D85" s="36">
        <f>VLOOKUP($B85,'MTX PRECIOS'!$A$5:$EC$94,D$68,0)</f>
        <v>6.0933989999999998</v>
      </c>
      <c r="E85" s="37">
        <f t="shared" si="1"/>
        <v>120.83190044152299</v>
      </c>
      <c r="F85" s="37">
        <f t="shared" si="2"/>
        <v>111.51895414405884</v>
      </c>
      <c r="G85" s="47">
        <f t="shared" si="4"/>
        <v>7.0338146209953267E-2</v>
      </c>
      <c r="H85" s="47">
        <f t="shared" si="5"/>
        <v>6.8472032201136734E-3</v>
      </c>
      <c r="I85" s="47">
        <f t="shared" si="6"/>
        <v>0.9043475941279705</v>
      </c>
      <c r="J85" s="47">
        <f t="shared" si="7"/>
        <v>8.8035469972890093E-2</v>
      </c>
      <c r="K85" s="45">
        <f t="shared" si="8"/>
        <v>28</v>
      </c>
      <c r="L85" s="47">
        <f t="shared" si="9"/>
        <v>1.3963804164785345</v>
      </c>
      <c r="M85" s="47">
        <f t="shared" si="10"/>
        <v>9.169926429171027E-2</v>
      </c>
    </row>
    <row r="86" spans="1:13" s="1" customFormat="1" x14ac:dyDescent="0.35">
      <c r="A86" s="33">
        <f t="shared" si="3"/>
        <v>15</v>
      </c>
      <c r="B86" s="34">
        <f>VLOOKUP(B85,'MTX PRECIOS'!$EB$5:$EC$94,2,0)</f>
        <v>45504</v>
      </c>
      <c r="C86" s="35">
        <f>VLOOKUP($B86,'MTX PRECIOS'!$A$5:$EC$94,C$68,0)</f>
        <v>1.5906100000000001</v>
      </c>
      <c r="D86" s="36">
        <f>VLOOKUP($B86,'MTX PRECIOS'!$A$5:$EC$94,D$68,0)</f>
        <v>6.139786</v>
      </c>
      <c r="E86" s="37">
        <f t="shared" si="1"/>
        <v>122.37165328403415</v>
      </c>
      <c r="F86" s="37">
        <f t="shared" si="2"/>
        <v>112.36791048613992</v>
      </c>
      <c r="G86" s="47">
        <f t="shared" si="4"/>
        <v>1.2742933255910582E-2</v>
      </c>
      <c r="H86" s="47">
        <f t="shared" si="5"/>
        <v>7.6126641304796738E-3</v>
      </c>
      <c r="I86" s="47">
        <f t="shared" si="6"/>
        <v>0.13901381733720636</v>
      </c>
      <c r="J86" s="47">
        <f t="shared" si="7"/>
        <v>8.3047245059778257E-2</v>
      </c>
      <c r="K86" s="45">
        <f t="shared" si="8"/>
        <v>33</v>
      </c>
      <c r="L86" s="47">
        <f t="shared" si="9"/>
        <v>0.14813116743168298</v>
      </c>
      <c r="M86" s="47">
        <f t="shared" si="10"/>
        <v>8.6251452573383292E-2</v>
      </c>
    </row>
    <row r="87" spans="1:13" s="1" customFormat="1" x14ac:dyDescent="0.35">
      <c r="A87" s="33">
        <f t="shared" si="3"/>
        <v>16</v>
      </c>
      <c r="B87" s="34">
        <f>VLOOKUP(B86,'MTX PRECIOS'!$EB$5:$EC$94,2,0)</f>
        <v>45534</v>
      </c>
      <c r="C87" s="35">
        <f>VLOOKUP($B87,'MTX PRECIOS'!$A$5:$EC$94,C$68,0)</f>
        <v>1.6580729999999999</v>
      </c>
      <c r="D87" s="36">
        <f>VLOOKUP($B87,'MTX PRECIOS'!$A$5:$EC$94,D$68,0)</f>
        <v>6.1890260000000001</v>
      </c>
      <c r="E87" s="37">
        <f t="shared" si="1"/>
        <v>127.56183745583037</v>
      </c>
      <c r="F87" s="37">
        <f t="shared" si="2"/>
        <v>113.26908129442829</v>
      </c>
      <c r="G87" s="47">
        <f t="shared" si="4"/>
        <v>4.2413287983855241E-2</v>
      </c>
      <c r="H87" s="47">
        <f t="shared" si="5"/>
        <v>8.0198234922195244E-3</v>
      </c>
      <c r="I87" s="47">
        <f t="shared" si="6"/>
        <v>0.50895945580626289</v>
      </c>
      <c r="J87" s="47">
        <f t="shared" si="7"/>
        <v>9.6237881906634293E-2</v>
      </c>
      <c r="K87" s="45">
        <f t="shared" si="8"/>
        <v>30</v>
      </c>
      <c r="L87" s="47">
        <f t="shared" si="9"/>
        <v>0.64618737253189185</v>
      </c>
      <c r="M87" s="47">
        <f t="shared" si="10"/>
        <v>0.10059839508542456</v>
      </c>
    </row>
    <row r="88" spans="1:13" s="1" customFormat="1" x14ac:dyDescent="0.35">
      <c r="A88" s="33">
        <f t="shared" si="3"/>
        <v>17</v>
      </c>
      <c r="B88" s="34">
        <f>VLOOKUP(B87,'MTX PRECIOS'!$EB$5:$EC$94,2,0)</f>
        <v>45565</v>
      </c>
      <c r="C88" s="35">
        <f>VLOOKUP($B88,'MTX PRECIOS'!$A$5:$EC$94,C$68,0)</f>
        <v>1.6846019999999999</v>
      </c>
      <c r="D88" s="36">
        <f>VLOOKUP($B88,'MTX PRECIOS'!$A$5:$EC$94,D$68,0)</f>
        <v>6.2347049999999999</v>
      </c>
      <c r="E88" s="37">
        <f t="shared" si="1"/>
        <v>129.60281393024721</v>
      </c>
      <c r="F88" s="37">
        <f t="shared" si="2"/>
        <v>114.10508010336014</v>
      </c>
      <c r="G88" s="47">
        <f t="shared" si="4"/>
        <v>1.5999898677561353E-2</v>
      </c>
      <c r="H88" s="47">
        <f t="shared" si="5"/>
        <v>7.3806443857240556E-3</v>
      </c>
      <c r="I88" s="47">
        <f t="shared" si="6"/>
        <v>0.18580527496522861</v>
      </c>
      <c r="J88" s="47">
        <f t="shared" si="7"/>
        <v>8.5710708995505161E-2</v>
      </c>
      <c r="K88" s="45">
        <f t="shared" si="8"/>
        <v>31</v>
      </c>
      <c r="L88" s="47">
        <f t="shared" si="9"/>
        <v>0.20241797607083423</v>
      </c>
      <c r="M88" s="47">
        <f t="shared" si="10"/>
        <v>8.9148236797987446E-2</v>
      </c>
    </row>
    <row r="89" spans="1:13" s="1" customFormat="1" x14ac:dyDescent="0.35">
      <c r="A89" s="33">
        <f t="shared" si="3"/>
        <v>18</v>
      </c>
      <c r="B89" s="34">
        <f>VLOOKUP(B88,'MTX PRECIOS'!$EB$5:$EC$94,2,0)</f>
        <v>45596</v>
      </c>
      <c r="C89" s="35">
        <f>VLOOKUP($B89,'MTX PRECIOS'!$A$5:$EC$94,C$68,0)</f>
        <v>1.6824939999999999</v>
      </c>
      <c r="D89" s="36">
        <f>VLOOKUP($B89,'MTX PRECIOS'!$A$5:$EC$94,D$68,0)</f>
        <v>6.2755609999999997</v>
      </c>
      <c r="E89" s="37">
        <f t="shared" si="1"/>
        <v>129.4406375041448</v>
      </c>
      <c r="F89" s="37">
        <f t="shared" si="2"/>
        <v>114.85281029311297</v>
      </c>
      <c r="G89" s="47">
        <f t="shared" si="4"/>
        <v>-1.2513341430201441E-3</v>
      </c>
      <c r="H89" s="47">
        <f t="shared" si="5"/>
        <v>6.5529964930177709E-3</v>
      </c>
      <c r="I89" s="47">
        <f t="shared" si="6"/>
        <v>-1.4531622306040383E-2</v>
      </c>
      <c r="J89" s="47">
        <f t="shared" si="7"/>
        <v>7.6099314112464442E-2</v>
      </c>
      <c r="K89" s="45">
        <f t="shared" si="8"/>
        <v>31</v>
      </c>
      <c r="L89" s="47">
        <f t="shared" si="9"/>
        <v>-1.4435516099250756E-2</v>
      </c>
      <c r="M89" s="47">
        <f t="shared" si="10"/>
        <v>7.8801884140653922E-2</v>
      </c>
    </row>
    <row r="90" spans="1:13" s="1" customFormat="1" x14ac:dyDescent="0.35">
      <c r="A90" s="33">
        <f t="shared" si="3"/>
        <v>19</v>
      </c>
      <c r="B90" s="34">
        <f>VLOOKUP(B89,'MTX PRECIOS'!$EB$5:$EC$94,2,0)</f>
        <v>45625</v>
      </c>
      <c r="C90" s="35">
        <f>VLOOKUP($B90,'MTX PRECIOS'!$A$5:$EC$94,C$68,0)</f>
        <v>1.7498499999999999</v>
      </c>
      <c r="D90" s="36">
        <f>VLOOKUP($B90,'MTX PRECIOS'!$A$5:$EC$94,D$68,0)</f>
        <v>6.3218319999999997</v>
      </c>
      <c r="E90" s="37">
        <f t="shared" si="1"/>
        <v>134.62258976057436</v>
      </c>
      <c r="F90" s="37">
        <f t="shared" si="2"/>
        <v>115.69964364953681</v>
      </c>
      <c r="G90" s="47">
        <f t="shared" si="4"/>
        <v>4.0033426567940289E-2</v>
      </c>
      <c r="H90" s="47">
        <f t="shared" si="5"/>
        <v>7.3732053596482494E-3</v>
      </c>
      <c r="I90" s="47">
        <f t="shared" si="6"/>
        <v>0.49696667463650013</v>
      </c>
      <c r="J90" s="47">
        <f t="shared" si="7"/>
        <v>9.1529445843909304E-2</v>
      </c>
      <c r="K90" s="45">
        <f t="shared" si="8"/>
        <v>29</v>
      </c>
      <c r="L90" s="47">
        <f t="shared" si="9"/>
        <v>0.62787714814685192</v>
      </c>
      <c r="M90" s="47">
        <f t="shared" si="10"/>
        <v>9.5481138514082575E-2</v>
      </c>
    </row>
    <row r="91" spans="1:13" s="1" customFormat="1" x14ac:dyDescent="0.35">
      <c r="A91" s="33">
        <f t="shared" si="3"/>
        <v>20</v>
      </c>
      <c r="B91" s="34">
        <f>VLOOKUP(B90,'MTX PRECIOS'!$EB$5:$EC$94,2,0)</f>
        <v>45657</v>
      </c>
      <c r="C91" s="35">
        <f>VLOOKUP($B91,'MTX PRECIOS'!$A$5:$EC$94,C$68,0)</f>
        <v>1.7631349999999999</v>
      </c>
      <c r="D91" s="36">
        <f>VLOOKUP($B91,'MTX PRECIOS'!$A$5:$EC$94,D$68,0)</f>
        <v>6.3654970000000004</v>
      </c>
      <c r="E91" s="37">
        <f t="shared" si="1"/>
        <v>135.64465514044647</v>
      </c>
      <c r="F91" s="37">
        <f t="shared" si="2"/>
        <v>116.49878303507522</v>
      </c>
      <c r="G91" s="47">
        <f t="shared" si="4"/>
        <v>7.5920793210846327E-3</v>
      </c>
      <c r="H91" s="47">
        <f t="shared" si="5"/>
        <v>6.9070168267679755E-3</v>
      </c>
      <c r="I91" s="47">
        <f t="shared" si="6"/>
        <v>8.5410892362202118E-2</v>
      </c>
      <c r="J91" s="47">
        <f t="shared" si="7"/>
        <v>7.7703939301139724E-2</v>
      </c>
      <c r="K91" s="45">
        <f t="shared" si="8"/>
        <v>32</v>
      </c>
      <c r="L91" s="47">
        <f t="shared" si="9"/>
        <v>8.8813205703114129E-2</v>
      </c>
      <c r="M91" s="47">
        <f t="shared" si="10"/>
        <v>8.0513960618204816E-2</v>
      </c>
    </row>
    <row r="92" spans="1:13" s="1" customFormat="1" x14ac:dyDescent="0.35">
      <c r="A92" s="33">
        <f t="shared" si="3"/>
        <v>21</v>
      </c>
      <c r="B92" s="34">
        <f>VLOOKUP(B91,'MTX PRECIOS'!$EB$5:$EC$94,2,0)</f>
        <v>45688</v>
      </c>
      <c r="C92" s="35">
        <f>VLOOKUP($B92,'MTX PRECIOS'!$A$5:$EC$94,C$68,0)</f>
        <v>1.7778750000000001</v>
      </c>
      <c r="D92" s="36">
        <f>VLOOKUP($B92,'MTX PRECIOS'!$A$5:$EC$94,D$68,0)</f>
        <v>6.412013</v>
      </c>
      <c r="E92" s="37">
        <f t="shared" si="1"/>
        <v>136.77865918254773</v>
      </c>
      <c r="F92" s="37">
        <f t="shared" si="2"/>
        <v>117.35010028361992</v>
      </c>
      <c r="G92" s="47">
        <f t="shared" si="4"/>
        <v>8.3601085566336053E-3</v>
      </c>
      <c r="H92" s="47">
        <f t="shared" si="5"/>
        <v>7.3075205282477906E-3</v>
      </c>
      <c r="I92" s="47">
        <f t="shared" si="6"/>
        <v>9.7085131625422511E-2</v>
      </c>
      <c r="J92" s="47">
        <f t="shared" si="7"/>
        <v>8.4861528715135637E-2</v>
      </c>
      <c r="K92" s="45">
        <f t="shared" si="8"/>
        <v>31</v>
      </c>
      <c r="L92" s="47">
        <f t="shared" si="9"/>
        <v>0.10150955110779236</v>
      </c>
      <c r="M92" s="47">
        <f t="shared" si="10"/>
        <v>8.823048337312378E-2</v>
      </c>
    </row>
    <row r="93" spans="1:13" s="1" customFormat="1" x14ac:dyDescent="0.35">
      <c r="A93" s="33">
        <f t="shared" si="3"/>
        <v>22</v>
      </c>
      <c r="B93" s="34">
        <f>VLOOKUP(B92,'MTX PRECIOS'!$EB$5:$EC$94,2,0)</f>
        <v>45716</v>
      </c>
      <c r="C93" s="35">
        <f>VLOOKUP($B93,'MTX PRECIOS'!$A$5:$EC$94,C$68,0)</f>
        <v>1.7592730000000001</v>
      </c>
      <c r="D93" s="36">
        <f>VLOOKUP($B93,'MTX PRECIOS'!$A$5:$EC$94,D$68,0)</f>
        <v>6.4487439999999996</v>
      </c>
      <c r="E93" s="37">
        <f t="shared" si="1"/>
        <v>135.34753684936135</v>
      </c>
      <c r="F93" s="37">
        <f t="shared" si="2"/>
        <v>118.02233637133801</v>
      </c>
      <c r="G93" s="47">
        <f t="shared" si="4"/>
        <v>-1.0463052801799932E-2</v>
      </c>
      <c r="H93" s="47">
        <f t="shared" si="5"/>
        <v>5.728466239853125E-3</v>
      </c>
      <c r="I93" s="47">
        <f t="shared" si="6"/>
        <v>-0.13452496459457056</v>
      </c>
      <c r="J93" s="47">
        <f t="shared" si="7"/>
        <v>7.3651708798111601E-2</v>
      </c>
      <c r="K93" s="45">
        <f t="shared" si="8"/>
        <v>28</v>
      </c>
      <c r="L93" s="47">
        <f t="shared" si="9"/>
        <v>-0.12648823736974679</v>
      </c>
      <c r="M93" s="47">
        <f t="shared" si="10"/>
        <v>7.6205636343941174E-2</v>
      </c>
    </row>
    <row r="94" spans="1:13" s="1" customFormat="1" x14ac:dyDescent="0.35">
      <c r="A94" s="33">
        <f t="shared" si="3"/>
        <v>23</v>
      </c>
      <c r="B94" s="34">
        <f>VLOOKUP(B93,'MTX PRECIOS'!$EB$5:$EC$94,2,0)</f>
        <v>45747</v>
      </c>
      <c r="C94" s="35">
        <f>VLOOKUP($B94,'MTX PRECIOS'!$A$5:$EC$94,C$68,0)</f>
        <v>1.6906490000000001</v>
      </c>
      <c r="D94" s="36">
        <f>VLOOKUP($B94,'MTX PRECIOS'!$A$5:$EC$94,D$68,0)</f>
        <v>6.4877950000000002</v>
      </c>
      <c r="E94" s="37">
        <f t="shared" si="1"/>
        <v>130.06803254914723</v>
      </c>
      <c r="F94" s="37">
        <f t="shared" si="2"/>
        <v>118.73703217220051</v>
      </c>
      <c r="G94" s="47">
        <f t="shared" si="4"/>
        <v>-3.9007021650420359E-2</v>
      </c>
      <c r="H94" s="47">
        <f t="shared" si="5"/>
        <v>6.0555978032312829E-3</v>
      </c>
      <c r="I94" s="47">
        <f t="shared" si="6"/>
        <v>-0.45298476755326866</v>
      </c>
      <c r="J94" s="47">
        <f t="shared" si="7"/>
        <v>7.0323071263331025E-2</v>
      </c>
      <c r="K94" s="45">
        <f t="shared" si="8"/>
        <v>31</v>
      </c>
      <c r="L94" s="47">
        <f t="shared" si="9"/>
        <v>-0.37001309462343579</v>
      </c>
      <c r="M94" s="47">
        <f t="shared" si="10"/>
        <v>7.2627239325440351E-2</v>
      </c>
    </row>
    <row r="95" spans="1:13" s="1" customFormat="1" x14ac:dyDescent="0.35">
      <c r="A95" s="33">
        <f t="shared" si="3"/>
        <v>24</v>
      </c>
      <c r="B95" s="34">
        <f>VLOOKUP(B94,'MTX PRECIOS'!$EB$5:$EC$94,2,0)</f>
        <v>45777</v>
      </c>
      <c r="C95" s="35">
        <f>VLOOKUP($B95,'MTX PRECIOS'!$A$5:$EC$94,C$68,0)</f>
        <v>1.671961</v>
      </c>
      <c r="D95" s="36">
        <f>VLOOKUP($B95,'MTX PRECIOS'!$A$5:$EC$94,D$68,0)</f>
        <v>6.5267109999999997</v>
      </c>
      <c r="E95" s="37">
        <f t="shared" si="1"/>
        <v>128.63029391015212</v>
      </c>
      <c r="F95" s="37">
        <f t="shared" si="2"/>
        <v>119.44925725699639</v>
      </c>
      <c r="G95" s="47">
        <f t="shared" si="4"/>
        <v>-1.1053743266638993E-2</v>
      </c>
      <c r="H95" s="47">
        <f t="shared" si="5"/>
        <v>5.9983399598784182E-3</v>
      </c>
      <c r="I95" s="47">
        <f t="shared" si="6"/>
        <v>-0.13264491919966792</v>
      </c>
      <c r="J95" s="47">
        <f t="shared" si="7"/>
        <v>7.1980079518541018E-2</v>
      </c>
      <c r="K95" s="45">
        <f t="shared" si="8"/>
        <v>30</v>
      </c>
      <c r="L95" s="47">
        <f t="shared" si="9"/>
        <v>-0.12487056534591567</v>
      </c>
      <c r="M95" s="47">
        <f t="shared" si="10"/>
        <v>7.4402892520667674E-2</v>
      </c>
    </row>
    <row r="96" spans="1:13" s="1" customFormat="1" x14ac:dyDescent="0.35">
      <c r="A96" s="33">
        <f t="shared" si="3"/>
        <v>25</v>
      </c>
      <c r="B96" s="34">
        <f>VLOOKUP(B95,'MTX PRECIOS'!$EB$5:$EC$94,2,0)</f>
        <v>45807</v>
      </c>
      <c r="C96" s="35">
        <f>VLOOKUP($B96,'MTX PRECIOS'!$A$5:$EC$94,C$68,0)</f>
        <v>1.736453</v>
      </c>
      <c r="D96" s="36">
        <f>VLOOKUP($B96,'MTX PRECIOS'!$A$5:$EC$94,D$68,0)</f>
        <v>6.5642569999999996</v>
      </c>
      <c r="E96" s="37">
        <f t="shared" si="1"/>
        <v>133.5919077963932</v>
      </c>
      <c r="F96" s="37">
        <f t="shared" si="2"/>
        <v>120.13640914911652</v>
      </c>
      <c r="G96" s="47">
        <f t="shared" si="4"/>
        <v>3.8572670056299163E-2</v>
      </c>
      <c r="H96" s="47">
        <f t="shared" si="5"/>
        <v>5.7526677678849669E-3</v>
      </c>
      <c r="I96" s="47">
        <f t="shared" si="6"/>
        <v>0.46287204067558996</v>
      </c>
      <c r="J96" s="47">
        <f t="shared" si="7"/>
        <v>6.9032013214619603E-2</v>
      </c>
      <c r="K96" s="45">
        <f t="shared" si="8"/>
        <v>30</v>
      </c>
      <c r="L96" s="47">
        <f t="shared" si="9"/>
        <v>0.57486263783664437</v>
      </c>
      <c r="M96" s="47">
        <f t="shared" si="10"/>
        <v>7.1258592950729449E-2</v>
      </c>
    </row>
    <row r="97" spans="1:13" s="1" customFormat="1" x14ac:dyDescent="0.35">
      <c r="A97" s="33">
        <f t="shared" si="3"/>
        <v>26</v>
      </c>
      <c r="B97" s="34">
        <f>VLOOKUP(B96,'MTX PRECIOS'!$EB$5:$EC$94,2,0)</f>
        <v>45838</v>
      </c>
      <c r="C97" s="35">
        <f>VLOOKUP($B97,'MTX PRECIOS'!$A$5:$EC$94,C$68,0)</f>
        <v>1.7692699999999999</v>
      </c>
      <c r="D97" s="36">
        <f>VLOOKUP($B97,'MTX PRECIOS'!$A$5:$EC$94,D$68,0)</f>
        <v>6.5972330000000001</v>
      </c>
      <c r="E97" s="37">
        <f t="shared" si="1"/>
        <v>136.11664393273219</v>
      </c>
      <c r="F97" s="37">
        <f t="shared" si="2"/>
        <v>120.73992272698243</v>
      </c>
      <c r="G97" s="47">
        <f t="shared" si="4"/>
        <v>1.8898870283272862E-2</v>
      </c>
      <c r="H97" s="47">
        <f t="shared" si="5"/>
        <v>5.0235693087581357E-3</v>
      </c>
      <c r="I97" s="47">
        <f t="shared" si="6"/>
        <v>0.21947075167671709</v>
      </c>
      <c r="J97" s="47">
        <f t="shared" si="7"/>
        <v>5.8338224230739637E-2</v>
      </c>
      <c r="K97" s="45">
        <f t="shared" si="8"/>
        <v>31</v>
      </c>
      <c r="L97" s="47">
        <f t="shared" si="9"/>
        <v>0.24286927922887536</v>
      </c>
      <c r="M97" s="47">
        <f t="shared" si="10"/>
        <v>5.991867139220064E-2</v>
      </c>
    </row>
    <row r="98" spans="1:13" s="1" customFormat="1" x14ac:dyDescent="0.35">
      <c r="A98" s="33">
        <f t="shared" si="3"/>
        <v>27</v>
      </c>
      <c r="B98" s="34">
        <f>VLOOKUP(B97,'MTX PRECIOS'!$EB$5:$EC$94,2,0)</f>
        <v>45869</v>
      </c>
      <c r="C98" s="35">
        <f>VLOOKUP($B98,'MTX PRECIOS'!$A$5:$EC$94,C$68,0)</f>
        <v>1.801409</v>
      </c>
      <c r="D98" s="36">
        <f>VLOOKUP($B98,'MTX PRECIOS'!$A$5:$EC$94,D$68,0)</f>
        <v>6.630541</v>
      </c>
      <c r="E98" s="37">
        <f t="shared" si="1"/>
        <v>138.58921896048608</v>
      </c>
      <c r="F98" s="37">
        <f t="shared" si="2"/>
        <v>121.34951243621208</v>
      </c>
      <c r="G98" s="47">
        <f t="shared" si="4"/>
        <v>1.8165118947362613E-2</v>
      </c>
      <c r="H98" s="47">
        <f t="shared" si="5"/>
        <v>5.0487833308296981E-3</v>
      </c>
      <c r="I98" s="47">
        <f t="shared" si="6"/>
        <v>0.21094976842098517</v>
      </c>
      <c r="J98" s="47">
        <f t="shared" si="7"/>
        <v>5.8631032228990042E-2</v>
      </c>
      <c r="K98" s="45">
        <f t="shared" si="8"/>
        <v>31</v>
      </c>
      <c r="L98" s="47">
        <f t="shared" si="9"/>
        <v>0.23251487459100306</v>
      </c>
      <c r="M98" s="47">
        <f t="shared" si="10"/>
        <v>6.0227513885027228E-2</v>
      </c>
    </row>
    <row r="99" spans="1:13" s="1" customFormat="1" x14ac:dyDescent="0.35">
      <c r="A99" s="33">
        <f t="shared" si="3"/>
        <v>28</v>
      </c>
      <c r="B99" s="34">
        <f>VLOOKUP(B98,'MTX PRECIOS'!$EB$5:$EC$94,2,0)</f>
        <v>45898</v>
      </c>
      <c r="C99" s="35">
        <f>VLOOKUP($B99,'MTX PRECIOS'!$A$5:$EC$94,C$68,0)</f>
        <v>1.816927</v>
      </c>
      <c r="D99" s="36">
        <f>VLOOKUP($B99,'MTX PRECIOS'!$A$5:$EC$94,D$68,0)</f>
        <v>6.6642510000000001</v>
      </c>
      <c r="E99" s="37">
        <f t="shared" si="1"/>
        <v>139.78307749001979</v>
      </c>
      <c r="F99" s="37">
        <f t="shared" si="2"/>
        <v>121.96645938884002</v>
      </c>
      <c r="G99" s="47">
        <f t="shared" si="4"/>
        <v>8.6143679752903601E-3</v>
      </c>
      <c r="H99" s="47">
        <f t="shared" si="5"/>
        <v>5.0840497027315745E-3</v>
      </c>
      <c r="I99" s="47">
        <f t="shared" si="6"/>
        <v>0.10693698176222516</v>
      </c>
      <c r="J99" s="47">
        <f t="shared" si="7"/>
        <v>6.3112341137357475E-2</v>
      </c>
      <c r="K99" s="45">
        <f t="shared" si="8"/>
        <v>29</v>
      </c>
      <c r="L99" s="47">
        <f t="shared" si="9"/>
        <v>0.11235458088505612</v>
      </c>
      <c r="M99" s="47">
        <f t="shared" si="10"/>
        <v>6.4976198089023995E-2</v>
      </c>
    </row>
    <row r="100" spans="1:13" s="1" customFormat="1" x14ac:dyDescent="0.35">
      <c r="A100" s="33">
        <f t="shared" si="3"/>
        <v>29</v>
      </c>
      <c r="B100" s="34">
        <f>VLOOKUP(B99,'MTX PRECIOS'!$EB$5:$EC$94,2,0)</f>
        <v>45930</v>
      </c>
      <c r="C100" s="35">
        <f>VLOOKUP($B100,'MTX PRECIOS'!$A$5:$EC$94,C$68,0)</f>
        <v>1.8639030000000001</v>
      </c>
      <c r="D100" s="36">
        <f>VLOOKUP($B100,'MTX PRECIOS'!$A$5:$EC$94,D$68,0)</f>
        <v>6.6964790000000001</v>
      </c>
      <c r="E100" s="37">
        <f t="shared" si="1"/>
        <v>143.39711913735687</v>
      </c>
      <c r="F100" s="37">
        <f t="shared" si="2"/>
        <v>122.55628336953694</v>
      </c>
      <c r="G100" s="47">
        <f t="shared" si="4"/>
        <v>2.5854643582268411E-2</v>
      </c>
      <c r="H100" s="47">
        <f t="shared" si="5"/>
        <v>4.8359523073184807E-3</v>
      </c>
      <c r="I100" s="47">
        <f t="shared" si="6"/>
        <v>0.29086474030051962</v>
      </c>
      <c r="J100" s="47">
        <f t="shared" si="7"/>
        <v>5.4404463457332908E-2</v>
      </c>
      <c r="K100" s="45">
        <f t="shared" si="8"/>
        <v>32</v>
      </c>
      <c r="L100" s="47">
        <f t="shared" si="9"/>
        <v>0.332648369585826</v>
      </c>
      <c r="M100" s="47">
        <f t="shared" si="10"/>
        <v>5.577314494007668E-2</v>
      </c>
    </row>
    <row r="101" spans="1:13" s="1" customFormat="1" x14ac:dyDescent="0.35">
      <c r="A101" s="33">
        <f t="shared" si="3"/>
        <v>30</v>
      </c>
      <c r="B101" s="34">
        <f>VLOOKUP(B100,'MTX PRECIOS'!$EB$5:$EC$94,2,0)</f>
        <v>45961</v>
      </c>
      <c r="C101" s="35">
        <f>VLOOKUP($B101,'MTX PRECIOS'!$A$5:$EC$94,C$68,0)</f>
        <v>1.9187829999999999</v>
      </c>
      <c r="D101" s="36">
        <f>VLOOKUP($B101,'MTX PRECIOS'!$A$5:$EC$94,D$68,0)</f>
        <v>6.730124</v>
      </c>
      <c r="E101" s="37">
        <f t="shared" si="1"/>
        <v>147.61924544878946</v>
      </c>
      <c r="F101" s="37">
        <f t="shared" si="2"/>
        <v>123.17204071813283</v>
      </c>
      <c r="G101" s="47">
        <f t="shared" si="4"/>
        <v>2.9443592289942089E-2</v>
      </c>
      <c r="H101" s="47">
        <f t="shared" si="5"/>
        <v>5.0242821638057933E-3</v>
      </c>
      <c r="I101" s="47">
        <f t="shared" si="6"/>
        <v>0.34192558788319843</v>
      </c>
      <c r="J101" s="47">
        <f t="shared" si="7"/>
        <v>5.8346502547422116E-2</v>
      </c>
      <c r="K101" s="45">
        <f t="shared" si="8"/>
        <v>31</v>
      </c>
      <c r="L101" s="47">
        <f t="shared" si="9"/>
        <v>0.4007229627029476</v>
      </c>
      <c r="M101" s="47">
        <f t="shared" si="10"/>
        <v>5.9927401909287692E-2</v>
      </c>
    </row>
    <row r="102" spans="1:13" s="1" customFormat="1" x14ac:dyDescent="0.35">
      <c r="A102" s="33">
        <f t="shared" si="3"/>
        <v>31</v>
      </c>
      <c r="B102" s="34">
        <f>VLOOKUP(B101,'MTX PRECIOS'!$EB$5:$EC$94,2,0)</f>
        <v>45989</v>
      </c>
      <c r="C102" s="35">
        <f>VLOOKUP($B102,'MTX PRECIOS'!$A$5:$EC$94,C$68,0)</f>
        <v>1.8896980000000001</v>
      </c>
      <c r="D102" s="36">
        <f>VLOOKUP($B102,'MTX PRECIOS'!$A$5:$EC$94,D$68,0)</f>
        <v>6.756659</v>
      </c>
      <c r="E102" s="37">
        <f t="shared" si="1"/>
        <v>145.38162621103407</v>
      </c>
      <c r="F102" s="37">
        <f t="shared" si="2"/>
        <v>123.6576736872216</v>
      </c>
      <c r="G102" s="47">
        <f t="shared" si="4"/>
        <v>-1.5158045490292427E-2</v>
      </c>
      <c r="H102" s="47">
        <f t="shared" si="5"/>
        <v>3.9427208176252559E-3</v>
      </c>
      <c r="I102" s="47">
        <f t="shared" si="6"/>
        <v>-0.19488915630375978</v>
      </c>
      <c r="J102" s="47">
        <f t="shared" si="7"/>
        <v>5.0692124798039008E-2</v>
      </c>
      <c r="K102" s="45">
        <f t="shared" si="8"/>
        <v>28</v>
      </c>
      <c r="L102" s="47">
        <f t="shared" si="9"/>
        <v>-0.1783011583534343</v>
      </c>
      <c r="M102" s="47">
        <f t="shared" si="10"/>
        <v>5.1894110936759663E-2</v>
      </c>
    </row>
    <row r="103" spans="1:13" s="1" customFormat="1" x14ac:dyDescent="0.35">
      <c r="A103" s="33">
        <f t="shared" si="3"/>
        <v>32</v>
      </c>
      <c r="B103" s="34">
        <f>VLOOKUP(B102,'MTX PRECIOS'!$EB$5:$EC$94,2,0)</f>
        <v>46022</v>
      </c>
      <c r="C103" s="35">
        <f>VLOOKUP($B103,'MTX PRECIOS'!$A$5:$EC$94,C$68,0)</f>
        <v>1.874093</v>
      </c>
      <c r="D103" s="36">
        <f>VLOOKUP($B103,'MTX PRECIOS'!$A$5:$EC$94,D$68,0)</f>
        <v>6.7863559999999996</v>
      </c>
      <c r="E103" s="37">
        <f t="shared" si="1"/>
        <v>144.18107444190315</v>
      </c>
      <c r="F103" s="37">
        <f t="shared" si="2"/>
        <v>124.20117631707008</v>
      </c>
      <c r="G103" s="47">
        <f t="shared" si="4"/>
        <v>-8.2579332782275472E-3</v>
      </c>
      <c r="H103" s="47">
        <f t="shared" si="5"/>
        <v>4.3952195900369695E-3</v>
      </c>
      <c r="I103" s="47">
        <f t="shared" si="6"/>
        <v>-9.0086544853391418E-2</v>
      </c>
      <c r="J103" s="47">
        <f t="shared" si="7"/>
        <v>4.7947850073130578E-2</v>
      </c>
      <c r="K103" s="45">
        <f t="shared" si="8"/>
        <v>33</v>
      </c>
      <c r="L103" s="47">
        <f t="shared" si="9"/>
        <v>-8.6489646849289725E-2</v>
      </c>
      <c r="M103" s="47">
        <f t="shared" si="10"/>
        <v>4.9005725175721659E-2</v>
      </c>
    </row>
    <row r="104" spans="1:13" s="1" customFormat="1" x14ac:dyDescent="0.35">
      <c r="A104" s="33">
        <f t="shared" si="3"/>
        <v>33</v>
      </c>
      <c r="B104" s="34">
        <f>VLOOKUP(B103,'MTX PRECIOS'!$EB$5:$EC$94,2,0)</f>
        <v>46052</v>
      </c>
      <c r="C104" s="35">
        <f>VLOOKUP($B104,'MTX PRECIOS'!$A$5:$EC$94,C$68,0)</f>
        <v>1.865397</v>
      </c>
      <c r="D104" s="36">
        <f>VLOOKUP($B104,'MTX PRECIOS'!$A$5:$EC$94,D$68,0)</f>
        <v>6.8145090000000001</v>
      </c>
      <c r="E104" s="37">
        <f t="shared" si="1"/>
        <v>143.51205821733649</v>
      </c>
      <c r="F104" s="37">
        <f t="shared" si="2"/>
        <v>124.71642127575696</v>
      </c>
      <c r="G104" s="47">
        <f t="shared" si="4"/>
        <v>-4.6401112431453395E-3</v>
      </c>
      <c r="H104" s="47">
        <f t="shared" si="5"/>
        <v>4.1484708435572948E-3</v>
      </c>
      <c r="I104" s="47">
        <f t="shared" si="6"/>
        <v>-5.5681334917744074E-2</v>
      </c>
      <c r="J104" s="47">
        <f t="shared" si="7"/>
        <v>4.9781650122687537E-2</v>
      </c>
      <c r="K104" s="45">
        <f t="shared" si="8"/>
        <v>30</v>
      </c>
      <c r="L104" s="47">
        <f t="shared" si="9"/>
        <v>-5.4282064407345287E-2</v>
      </c>
      <c r="M104" s="47">
        <f t="shared" si="10"/>
        <v>5.0933351958072137E-2</v>
      </c>
    </row>
    <row r="105" spans="1:13" s="1" customFormat="1" x14ac:dyDescent="0.35">
      <c r="A105" s="33">
        <f t="shared" si="3"/>
        <v>34</v>
      </c>
      <c r="B105" s="34">
        <f>VLOOKUP(B104,'MTX PRECIOS'!$EB$5:$EC$94,2,0)</f>
        <v>46080</v>
      </c>
      <c r="C105" s="35">
        <f>VLOOKUP($B105,'MTX PRECIOS'!$A$5:$EC$94,C$68,0)</f>
        <v>1.8582510000000001</v>
      </c>
      <c r="D105" s="36">
        <f>VLOOKUP($B105,'MTX PRECIOS'!$A$5:$EC$94,D$68,0)</f>
        <v>6.8382050000000003</v>
      </c>
      <c r="E105" s="37">
        <f t="shared" si="1"/>
        <v>142.96228936490397</v>
      </c>
      <c r="F105" s="37">
        <f t="shared" si="2"/>
        <v>125.15009600104536</v>
      </c>
      <c r="G105" s="47">
        <f t="shared" si="4"/>
        <v>-3.8308199273398014E-3</v>
      </c>
      <c r="H105" s="47">
        <f t="shared" si="5"/>
        <v>3.477286478013264E-3</v>
      </c>
      <c r="I105" s="47">
        <f t="shared" si="6"/>
        <v>-4.9253399065797447E-2</v>
      </c>
      <c r="J105" s="47">
        <f t="shared" si="7"/>
        <v>4.4707969003027682E-2</v>
      </c>
      <c r="K105" s="45">
        <f t="shared" si="8"/>
        <v>28</v>
      </c>
      <c r="L105" s="47">
        <f t="shared" si="9"/>
        <v>-4.8150153738345414E-2</v>
      </c>
      <c r="M105" s="47">
        <f t="shared" si="10"/>
        <v>4.5641337770641277E-2</v>
      </c>
    </row>
    <row r="106" spans="1:13" s="1" customFormat="1" x14ac:dyDescent="0.35">
      <c r="A106" s="33">
        <f t="shared" ref="A106:A107" si="11">+A105+1</f>
        <v>35</v>
      </c>
      <c r="B106" s="34">
        <f>VLOOKUP(B105,'MTX PRECIOS'!$EB$5:$EC$94,2,0)</f>
        <v>46112</v>
      </c>
      <c r="C106" s="35">
        <f>VLOOKUP($B106,'MTX PRECIOS'!$A$5:$EC$94,C$68,0)</f>
        <v>1.8362240000000001</v>
      </c>
      <c r="D106" s="36">
        <f>VLOOKUP($B106,'MTX PRECIOS'!$A$5:$EC$94,D$68,0)</f>
        <v>6.8607649999999998</v>
      </c>
      <c r="E106" s="37">
        <f t="shared" si="1"/>
        <v>141.26766880619539</v>
      </c>
      <c r="F106" s="37">
        <f t="shared" si="2"/>
        <v>125.56298010817341</v>
      </c>
      <c r="G106" s="47">
        <f t="shared" si="4"/>
        <v>-1.1853619344211364E-2</v>
      </c>
      <c r="H106" s="47">
        <f t="shared" si="5"/>
        <v>3.2991113896116975E-3</v>
      </c>
      <c r="I106" s="47">
        <f t="shared" si="6"/>
        <v>-0.13335321762237784</v>
      </c>
      <c r="J106" s="47">
        <f t="shared" si="7"/>
        <v>3.7115003133131597E-2</v>
      </c>
      <c r="K106" s="45">
        <f t="shared" si="8"/>
        <v>32</v>
      </c>
      <c r="L106" s="47">
        <f t="shared" si="9"/>
        <v>-0.12554100787731437</v>
      </c>
      <c r="M106" s="47">
        <f t="shared" si="10"/>
        <v>3.7748968726019294E-2</v>
      </c>
    </row>
    <row r="107" spans="1:13" s="1" customFormat="1" x14ac:dyDescent="0.35">
      <c r="A107" s="33">
        <f t="shared" si="11"/>
        <v>36</v>
      </c>
      <c r="B107" s="34">
        <f>VLOOKUP(B106,'MTX PRECIOS'!$EB$5:$EC$94,2,0)</f>
        <v>46142</v>
      </c>
      <c r="C107" s="35">
        <f>VLOOKUP($B107,'MTX PRECIOS'!$A$5:$EC$94,C$68,0)</f>
        <v>1.9329019999999999</v>
      </c>
      <c r="D107" s="36">
        <f>VLOOKUP($B107,'MTX PRECIOS'!$A$5:$EC$94,D$68,0)</f>
        <v>6.8893259999999996</v>
      </c>
      <c r="E107" s="37">
        <f t="shared" si="1"/>
        <v>148.70547360824858</v>
      </c>
      <c r="F107" s="37">
        <f t="shared" si="2"/>
        <v>126.08569211986152</v>
      </c>
      <c r="G107" s="47">
        <f t="shared" si="4"/>
        <v>5.2650439162106544E-2</v>
      </c>
      <c r="H107" s="47">
        <f t="shared" si="5"/>
        <v>4.1629468433912464E-3</v>
      </c>
      <c r="I107" s="47">
        <f t="shared" si="6"/>
        <v>0.63180526994527852</v>
      </c>
      <c r="J107" s="47">
        <f t="shared" si="7"/>
        <v>4.9955362120694957E-2</v>
      </c>
      <c r="K107" s="45">
        <f t="shared" si="8"/>
        <v>30</v>
      </c>
      <c r="L107" s="47">
        <f t="shared" si="9"/>
        <v>0.85101574019558934</v>
      </c>
      <c r="M107" s="47">
        <f t="shared" si="10"/>
        <v>5.1115171891407352E-2</v>
      </c>
    </row>
    <row r="108" spans="1:13" s="1" customFormat="1" x14ac:dyDescent="0.35">
      <c r="A108" s="59" t="s">
        <v>264</v>
      </c>
      <c r="B108" s="6"/>
      <c r="C108" s="77">
        <f>+C107/C71-1</f>
        <v>0.48705473608248528</v>
      </c>
      <c r="D108" s="77">
        <f>+D107/D71-1</f>
        <v>0.26085692119861559</v>
      </c>
      <c r="E108" s="77">
        <f>+E107/E71-1</f>
        <v>0.48705473608248573</v>
      </c>
      <c r="F108" s="77">
        <f>+F107/F71-1</f>
        <v>0.26085692119861514</v>
      </c>
      <c r="G108" s="60">
        <f>+C107/C71-1</f>
        <v>0.48705473608248528</v>
      </c>
      <c r="H108" s="60">
        <f>+D107/D71-1</f>
        <v>0.26085692119861559</v>
      </c>
      <c r="I108" s="60">
        <f t="shared" si="6"/>
        <v>0.15969007740409352</v>
      </c>
      <c r="J108" s="60">
        <f t="shared" si="7"/>
        <v>8.5526859409382164E-2</v>
      </c>
      <c r="K108" s="61">
        <f>SUM(K72:K107)</f>
        <v>1098</v>
      </c>
      <c r="L108" s="101">
        <f>+((C107/C71)^(360/$K108))-1</f>
        <v>0.13893946242249644</v>
      </c>
      <c r="M108" s="101">
        <f>+((D107/D71)^(360/$K108))-1</f>
        <v>7.8959597636941492E-2</v>
      </c>
    </row>
    <row r="109" spans="1:13" s="1" customFormat="1" x14ac:dyDescent="0.35">
      <c r="A109" s="1" t="s">
        <v>192</v>
      </c>
      <c r="J109" s="25"/>
      <c r="K109" s="26"/>
      <c r="L109" s="26"/>
    </row>
    <row r="110" spans="1:13" s="1" customFormat="1" x14ac:dyDescent="0.35">
      <c r="A110" s="1" t="s">
        <v>180</v>
      </c>
      <c r="J110" s="25"/>
      <c r="K110" s="26"/>
      <c r="L110" s="26"/>
    </row>
    <row r="111" spans="1:13" s="17" customFormat="1" x14ac:dyDescent="0.35">
      <c r="J111" s="153"/>
      <c r="K111" s="154"/>
      <c r="L111" s="154"/>
    </row>
    <row r="112" spans="1:13" s="17" customFormat="1" x14ac:dyDescent="0.35">
      <c r="J112" s="153"/>
      <c r="K112" s="154"/>
      <c r="L112" s="154"/>
    </row>
    <row r="113" spans="10:12" s="17" customFormat="1" x14ac:dyDescent="0.35">
      <c r="J113" s="153"/>
      <c r="K113" s="154"/>
      <c r="L113" s="154"/>
    </row>
    <row r="114" spans="10:12" s="17" customFormat="1" x14ac:dyDescent="0.35">
      <c r="J114" s="153"/>
      <c r="K114" s="154"/>
      <c r="L114" s="154"/>
    </row>
    <row r="115" spans="10:12" s="17" customFormat="1" x14ac:dyDescent="0.35">
      <c r="J115" s="153"/>
      <c r="K115" s="154"/>
      <c r="L115" s="154"/>
    </row>
    <row r="116" spans="10:12" s="17" customFormat="1" x14ac:dyDescent="0.35">
      <c r="J116" s="153"/>
      <c r="K116" s="154"/>
      <c r="L116" s="154"/>
    </row>
    <row r="117" spans="10:12" s="17" customFormat="1" x14ac:dyDescent="0.35">
      <c r="J117" s="153"/>
      <c r="K117" s="154"/>
      <c r="L117" s="154"/>
    </row>
    <row r="118" spans="10:12" s="17" customFormat="1" x14ac:dyDescent="0.35">
      <c r="J118" s="153"/>
      <c r="K118" s="154"/>
      <c r="L118" s="154"/>
    </row>
    <row r="119" spans="10:12" s="17" customFormat="1" x14ac:dyDescent="0.35">
      <c r="J119" s="153"/>
      <c r="K119" s="154"/>
      <c r="L119" s="154"/>
    </row>
    <row r="120" spans="10:12" s="17" customFormat="1" x14ac:dyDescent="0.35">
      <c r="J120" s="153"/>
      <c r="K120" s="154"/>
      <c r="L120" s="154"/>
    </row>
    <row r="121" spans="10:12" s="17" customFormat="1" x14ac:dyDescent="0.35">
      <c r="J121" s="153"/>
      <c r="K121" s="154"/>
      <c r="L121" s="154"/>
    </row>
    <row r="122" spans="10:12" s="17" customFormat="1" x14ac:dyDescent="0.35">
      <c r="J122" s="153"/>
      <c r="K122" s="154"/>
      <c r="L122" s="154"/>
    </row>
    <row r="123" spans="10:12" s="17" customFormat="1" x14ac:dyDescent="0.35">
      <c r="J123" s="153"/>
      <c r="K123" s="154"/>
      <c r="L123" s="154"/>
    </row>
    <row r="124" spans="10:12" s="17" customFormat="1" x14ac:dyDescent="0.35">
      <c r="J124" s="153"/>
      <c r="K124" s="154"/>
      <c r="L124" s="154"/>
    </row>
    <row r="125" spans="10:12" s="17" customFormat="1" x14ac:dyDescent="0.35">
      <c r="J125" s="153"/>
      <c r="K125" s="154"/>
      <c r="L125" s="154"/>
    </row>
    <row r="126" spans="10:12" s="17" customFormat="1" x14ac:dyDescent="0.35">
      <c r="J126" s="153"/>
      <c r="K126" s="154"/>
      <c r="L126" s="154"/>
    </row>
    <row r="127" spans="10:12" s="17" customFormat="1" x14ac:dyDescent="0.35">
      <c r="J127" s="153"/>
      <c r="K127" s="154"/>
      <c r="L127" s="154"/>
    </row>
    <row r="128" spans="10:12" s="17" customFormat="1" x14ac:dyDescent="0.35">
      <c r="J128" s="153"/>
      <c r="K128" s="154"/>
      <c r="L128" s="154"/>
    </row>
    <row r="129" spans="10:12" s="17" customFormat="1" x14ac:dyDescent="0.35">
      <c r="J129" s="153"/>
      <c r="K129" s="154"/>
      <c r="L129" s="154"/>
    </row>
    <row r="130" spans="10:12" s="17" customFormat="1" x14ac:dyDescent="0.35">
      <c r="J130" s="153"/>
      <c r="K130" s="154"/>
      <c r="L130" s="154"/>
    </row>
    <row r="131" spans="10:12" s="17" customFormat="1" x14ac:dyDescent="0.35">
      <c r="J131" s="153"/>
      <c r="K131" s="154"/>
      <c r="L131" s="154"/>
    </row>
    <row r="132" spans="10:12" s="17" customFormat="1" x14ac:dyDescent="0.35">
      <c r="J132" s="153"/>
      <c r="K132" s="154"/>
      <c r="L132" s="154"/>
    </row>
    <row r="133" spans="10:12" s="17" customFormat="1" x14ac:dyDescent="0.35">
      <c r="J133" s="153"/>
      <c r="K133" s="154"/>
      <c r="L133" s="154"/>
    </row>
    <row r="134" spans="10:12" s="17" customFormat="1" x14ac:dyDescent="0.35">
      <c r="J134" s="153"/>
      <c r="K134" s="154"/>
      <c r="L134" s="154"/>
    </row>
    <row r="135" spans="10:12" s="17" customFormat="1" x14ac:dyDescent="0.35">
      <c r="J135" s="153"/>
      <c r="K135" s="154"/>
      <c r="L135" s="154"/>
    </row>
    <row r="136" spans="10:12" s="17" customFormat="1" x14ac:dyDescent="0.35">
      <c r="J136" s="153"/>
      <c r="K136" s="154"/>
      <c r="L136" s="154"/>
    </row>
    <row r="137" spans="10:12" s="17" customFormat="1" x14ac:dyDescent="0.35">
      <c r="J137" s="153"/>
      <c r="K137" s="154"/>
      <c r="L137" s="154"/>
    </row>
    <row r="138" spans="10:12" s="17" customFormat="1" x14ac:dyDescent="0.35">
      <c r="J138" s="153"/>
      <c r="K138" s="154"/>
      <c r="L138" s="154"/>
    </row>
    <row r="139" spans="10:12" s="17" customFormat="1" x14ac:dyDescent="0.35">
      <c r="J139" s="153"/>
      <c r="K139" s="154"/>
      <c r="L139" s="154"/>
    </row>
    <row r="140" spans="10:12" s="17" customFormat="1" x14ac:dyDescent="0.35">
      <c r="J140" s="153"/>
      <c r="K140" s="154"/>
      <c r="L140" s="154"/>
    </row>
    <row r="141" spans="10:12" s="17" customFormat="1" x14ac:dyDescent="0.35">
      <c r="J141" s="153"/>
      <c r="K141" s="154"/>
      <c r="L141" s="154"/>
    </row>
    <row r="142" spans="10:12" s="17" customFormat="1" x14ac:dyDescent="0.35">
      <c r="J142" s="153"/>
      <c r="K142" s="154"/>
      <c r="L142" s="154"/>
    </row>
    <row r="143" spans="10:12" s="17" customFormat="1" x14ac:dyDescent="0.35">
      <c r="J143" s="153"/>
      <c r="K143" s="154"/>
      <c r="L143" s="154"/>
    </row>
    <row r="144" spans="10:12" s="17" customFormat="1" x14ac:dyDescent="0.35">
      <c r="J144" s="153"/>
      <c r="K144" s="154"/>
      <c r="L144" s="154"/>
    </row>
    <row r="145" spans="10:12" s="17" customFormat="1" x14ac:dyDescent="0.35">
      <c r="J145" s="153"/>
      <c r="K145" s="154"/>
      <c r="L145" s="154"/>
    </row>
    <row r="146" spans="10:12" s="17" customFormat="1" x14ac:dyDescent="0.35">
      <c r="J146" s="153"/>
      <c r="K146" s="154"/>
      <c r="L146" s="154"/>
    </row>
    <row r="147" spans="10:12" s="17" customFormat="1" x14ac:dyDescent="0.35">
      <c r="J147" s="153"/>
      <c r="K147" s="154"/>
      <c r="L147" s="154"/>
    </row>
    <row r="148" spans="10:12" s="17" customFormat="1" x14ac:dyDescent="0.35">
      <c r="J148" s="153"/>
      <c r="K148" s="154"/>
      <c r="L148" s="154"/>
    </row>
    <row r="149" spans="10:12" s="17" customFormat="1" x14ac:dyDescent="0.35">
      <c r="J149" s="153"/>
      <c r="K149" s="154"/>
      <c r="L149" s="154"/>
    </row>
    <row r="150" spans="10:12" s="17" customFormat="1" x14ac:dyDescent="0.35">
      <c r="J150" s="153"/>
      <c r="K150" s="154"/>
      <c r="L150" s="154"/>
    </row>
    <row r="151" spans="10:12" s="17" customFormat="1" x14ac:dyDescent="0.35">
      <c r="J151" s="153"/>
      <c r="K151" s="154"/>
      <c r="L151" s="154"/>
    </row>
    <row r="152" spans="10:12" s="17" customFormat="1" x14ac:dyDescent="0.35">
      <c r="J152" s="153"/>
      <c r="K152" s="154"/>
      <c r="L152" s="154"/>
    </row>
    <row r="153" spans="10:12" s="17" customFormat="1" x14ac:dyDescent="0.35">
      <c r="J153" s="153"/>
      <c r="K153" s="154"/>
      <c r="L153" s="154"/>
    </row>
    <row r="154" spans="10:12" s="17" customFormat="1" x14ac:dyDescent="0.35">
      <c r="J154" s="153"/>
      <c r="K154" s="154"/>
      <c r="L154" s="154"/>
    </row>
    <row r="155" spans="10:12" s="17" customFormat="1" x14ac:dyDescent="0.35">
      <c r="J155" s="153"/>
      <c r="K155" s="154"/>
      <c r="L155" s="154"/>
    </row>
    <row r="156" spans="10:12" s="17" customFormat="1" x14ac:dyDescent="0.35">
      <c r="J156" s="153"/>
      <c r="K156" s="154"/>
      <c r="L156" s="154"/>
    </row>
    <row r="157" spans="10:12" s="17" customFormat="1" x14ac:dyDescent="0.35">
      <c r="J157" s="153"/>
      <c r="K157" s="154"/>
      <c r="L157" s="154"/>
    </row>
    <row r="158" spans="10:12" s="17" customFormat="1" x14ac:dyDescent="0.35">
      <c r="J158" s="153"/>
      <c r="K158" s="154"/>
      <c r="L158" s="154"/>
    </row>
    <row r="159" spans="10:12" s="17" customFormat="1" x14ac:dyDescent="0.35">
      <c r="J159" s="153"/>
      <c r="K159" s="154"/>
      <c r="L159" s="154"/>
    </row>
    <row r="160" spans="10:12" s="17" customFormat="1" x14ac:dyDescent="0.35">
      <c r="J160" s="153"/>
      <c r="K160" s="154"/>
      <c r="L160" s="154"/>
    </row>
    <row r="161" spans="10:12" s="17" customFormat="1" x14ac:dyDescent="0.35">
      <c r="J161" s="153"/>
      <c r="K161" s="154"/>
      <c r="L161" s="154"/>
    </row>
    <row r="162" spans="10:12" s="17" customFormat="1" x14ac:dyDescent="0.35">
      <c r="J162" s="153"/>
      <c r="K162" s="154"/>
      <c r="L162" s="154"/>
    </row>
    <row r="163" spans="10:12" s="17" customFormat="1" x14ac:dyDescent="0.35">
      <c r="J163" s="153"/>
      <c r="K163" s="154"/>
      <c r="L163" s="154"/>
    </row>
    <row r="164" spans="10:12" s="17" customFormat="1" x14ac:dyDescent="0.35">
      <c r="J164" s="153"/>
      <c r="K164" s="154"/>
      <c r="L164" s="154"/>
    </row>
    <row r="165" spans="10:12" s="17" customFormat="1" x14ac:dyDescent="0.35">
      <c r="J165" s="153"/>
      <c r="K165" s="154"/>
      <c r="L165" s="154"/>
    </row>
    <row r="166" spans="10:12" s="17" customFormat="1" x14ac:dyDescent="0.35">
      <c r="J166" s="153"/>
      <c r="K166" s="154"/>
      <c r="L166" s="154"/>
    </row>
    <row r="167" spans="10:12" s="17" customFormat="1" x14ac:dyDescent="0.35">
      <c r="J167" s="153"/>
      <c r="K167" s="154"/>
      <c r="L167" s="154"/>
    </row>
    <row r="168" spans="10:12" s="17" customFormat="1" x14ac:dyDescent="0.35">
      <c r="J168" s="153"/>
      <c r="K168" s="154"/>
      <c r="L168" s="154"/>
    </row>
    <row r="169" spans="10:12" s="17" customFormat="1" x14ac:dyDescent="0.35">
      <c r="J169" s="153"/>
      <c r="K169" s="154"/>
      <c r="L169" s="154"/>
    </row>
    <row r="170" spans="10:12" s="17" customFormat="1" x14ac:dyDescent="0.35">
      <c r="J170" s="153"/>
      <c r="K170" s="154"/>
      <c r="L170" s="154"/>
    </row>
    <row r="171" spans="10:12" s="17" customFormat="1" x14ac:dyDescent="0.35">
      <c r="J171" s="153"/>
      <c r="K171" s="154"/>
      <c r="L171" s="154"/>
    </row>
    <row r="172" spans="10:12" s="17" customFormat="1" x14ac:dyDescent="0.35">
      <c r="J172" s="153"/>
      <c r="K172" s="154"/>
      <c r="L172" s="154"/>
    </row>
    <row r="173" spans="10:12" s="17" customFormat="1" x14ac:dyDescent="0.35">
      <c r="J173" s="153"/>
      <c r="K173" s="154"/>
      <c r="L173" s="154"/>
    </row>
    <row r="174" spans="10:12" s="17" customFormat="1" x14ac:dyDescent="0.35">
      <c r="J174" s="153"/>
      <c r="K174" s="154"/>
      <c r="L174" s="154"/>
    </row>
    <row r="175" spans="10:12" s="17" customFormat="1" x14ac:dyDescent="0.35">
      <c r="J175" s="153"/>
      <c r="K175" s="154"/>
      <c r="L175" s="154"/>
    </row>
    <row r="176" spans="10:12" s="17" customFormat="1" x14ac:dyDescent="0.35">
      <c r="J176" s="153"/>
      <c r="K176" s="154"/>
      <c r="L176" s="154"/>
    </row>
    <row r="177" spans="10:12" s="17" customFormat="1" x14ac:dyDescent="0.35">
      <c r="J177" s="153"/>
      <c r="K177" s="154"/>
      <c r="L177" s="154"/>
    </row>
    <row r="178" spans="10:12" s="17" customFormat="1" x14ac:dyDescent="0.35">
      <c r="J178" s="153"/>
      <c r="K178" s="154"/>
      <c r="L178" s="154"/>
    </row>
    <row r="179" spans="10:12" s="17" customFormat="1" x14ac:dyDescent="0.35">
      <c r="J179" s="153"/>
      <c r="K179" s="154"/>
      <c r="L179" s="154"/>
    </row>
    <row r="180" spans="10:12" s="17" customFormat="1" x14ac:dyDescent="0.35">
      <c r="J180" s="153"/>
      <c r="K180" s="154"/>
      <c r="L180" s="154"/>
    </row>
    <row r="181" spans="10:12" s="17" customFormat="1" x14ac:dyDescent="0.35">
      <c r="J181" s="153"/>
      <c r="K181" s="154"/>
      <c r="L181" s="154"/>
    </row>
    <row r="182" spans="10:12" s="17" customFormat="1" x14ac:dyDescent="0.35">
      <c r="J182" s="153"/>
      <c r="K182" s="154"/>
      <c r="L182" s="154"/>
    </row>
    <row r="183" spans="10:12" s="17" customFormat="1" x14ac:dyDescent="0.35">
      <c r="J183" s="153"/>
      <c r="K183" s="154"/>
      <c r="L183" s="154"/>
    </row>
    <row r="184" spans="10:12" s="17" customFormat="1" x14ac:dyDescent="0.35">
      <c r="J184" s="153"/>
      <c r="K184" s="154"/>
      <c r="L184" s="154"/>
    </row>
    <row r="185" spans="10:12" s="17" customFormat="1" x14ac:dyDescent="0.35">
      <c r="J185" s="153"/>
      <c r="K185" s="154"/>
      <c r="L185" s="154"/>
    </row>
    <row r="186" spans="10:12" s="17" customFormat="1" x14ac:dyDescent="0.35">
      <c r="J186" s="153"/>
      <c r="K186" s="154"/>
      <c r="L186" s="154"/>
    </row>
    <row r="187" spans="10:12" s="17" customFormat="1" x14ac:dyDescent="0.35">
      <c r="J187" s="153"/>
      <c r="K187" s="154"/>
      <c r="L187" s="154"/>
    </row>
    <row r="188" spans="10:12" s="17" customFormat="1" x14ac:dyDescent="0.35">
      <c r="J188" s="153"/>
      <c r="K188" s="154"/>
      <c r="L188" s="154"/>
    </row>
    <row r="189" spans="10:12" s="17" customFormat="1" x14ac:dyDescent="0.35">
      <c r="J189" s="153"/>
      <c r="K189" s="154"/>
      <c r="L189" s="154"/>
    </row>
    <row r="190" spans="10:12" s="17" customFormat="1" x14ac:dyDescent="0.35">
      <c r="J190" s="153"/>
      <c r="K190" s="154"/>
      <c r="L190" s="154"/>
    </row>
    <row r="191" spans="10:12" s="17" customFormat="1" x14ac:dyDescent="0.35">
      <c r="J191" s="153"/>
      <c r="K191" s="154"/>
      <c r="L191" s="154"/>
    </row>
    <row r="192" spans="10:12" s="17" customFormat="1" x14ac:dyDescent="0.35">
      <c r="J192" s="153"/>
      <c r="K192" s="154"/>
      <c r="L192" s="154"/>
    </row>
    <row r="193" spans="10:12" s="17" customFormat="1" x14ac:dyDescent="0.35">
      <c r="J193" s="153"/>
      <c r="K193" s="154"/>
      <c r="L193" s="154"/>
    </row>
    <row r="194" spans="10:12" s="17" customFormat="1" x14ac:dyDescent="0.35">
      <c r="J194" s="153"/>
      <c r="K194" s="154"/>
      <c r="L194" s="154"/>
    </row>
    <row r="195" spans="10:12" s="17" customFormat="1" x14ac:dyDescent="0.35">
      <c r="J195" s="153"/>
      <c r="K195" s="154"/>
      <c r="L195" s="154"/>
    </row>
    <row r="196" spans="10:12" s="17" customFormat="1" x14ac:dyDescent="0.35">
      <c r="J196" s="153"/>
      <c r="K196" s="154"/>
      <c r="L196" s="154"/>
    </row>
    <row r="197" spans="10:12" s="17" customFormat="1" x14ac:dyDescent="0.35">
      <c r="J197" s="153"/>
      <c r="K197" s="154"/>
      <c r="L197" s="154"/>
    </row>
    <row r="198" spans="10:12" s="17" customFormat="1" x14ac:dyDescent="0.35">
      <c r="J198" s="153"/>
      <c r="K198" s="154"/>
      <c r="L198" s="154"/>
    </row>
    <row r="199" spans="10:12" s="17" customFormat="1" x14ac:dyDescent="0.35">
      <c r="J199" s="153"/>
      <c r="K199" s="154"/>
      <c r="L199" s="154"/>
    </row>
    <row r="200" spans="10:12" s="17" customFormat="1" x14ac:dyDescent="0.35">
      <c r="J200" s="153"/>
      <c r="K200" s="154"/>
      <c r="L200" s="154"/>
    </row>
    <row r="201" spans="10:12" s="17" customFormat="1" x14ac:dyDescent="0.35">
      <c r="J201" s="153"/>
      <c r="K201" s="154"/>
      <c r="L201" s="154"/>
    </row>
    <row r="202" spans="10:12" s="17" customFormat="1" x14ac:dyDescent="0.35">
      <c r="J202" s="153"/>
      <c r="K202" s="154"/>
      <c r="L202" s="154"/>
    </row>
    <row r="203" spans="10:12" s="17" customFormat="1" x14ac:dyDescent="0.35">
      <c r="J203" s="153"/>
      <c r="K203" s="154"/>
      <c r="L203" s="154"/>
    </row>
    <row r="204" spans="10:12" s="17" customFormat="1" x14ac:dyDescent="0.35">
      <c r="J204" s="153"/>
      <c r="K204" s="154"/>
      <c r="L204" s="154"/>
    </row>
    <row r="205" spans="10:12" s="17" customFormat="1" x14ac:dyDescent="0.35">
      <c r="J205" s="153"/>
      <c r="K205" s="154"/>
      <c r="L205" s="154"/>
    </row>
    <row r="206" spans="10:12" s="17" customFormat="1" x14ac:dyDescent="0.35">
      <c r="J206" s="153"/>
      <c r="K206" s="154"/>
      <c r="L206" s="154"/>
    </row>
    <row r="207" spans="10:12" s="17" customFormat="1" x14ac:dyDescent="0.35">
      <c r="J207" s="153"/>
      <c r="K207" s="154"/>
      <c r="L207" s="154"/>
    </row>
    <row r="208" spans="10:12" s="17" customFormat="1" x14ac:dyDescent="0.35">
      <c r="J208" s="153"/>
      <c r="K208" s="154"/>
      <c r="L208" s="154"/>
    </row>
    <row r="209" spans="10:12" s="17" customFormat="1" x14ac:dyDescent="0.35">
      <c r="J209" s="153"/>
      <c r="K209" s="154"/>
      <c r="L209" s="154"/>
    </row>
    <row r="210" spans="10:12" s="17" customFormat="1" x14ac:dyDescent="0.35">
      <c r="J210" s="153"/>
      <c r="K210" s="154"/>
      <c r="L210" s="154"/>
    </row>
    <row r="211" spans="10:12" s="17" customFormat="1" x14ac:dyDescent="0.35">
      <c r="J211" s="153"/>
      <c r="K211" s="154"/>
      <c r="L211" s="154"/>
    </row>
    <row r="212" spans="10:12" s="17" customFormat="1" x14ac:dyDescent="0.35">
      <c r="J212" s="153"/>
      <c r="K212" s="154"/>
      <c r="L212" s="154"/>
    </row>
    <row r="213" spans="10:12" s="17" customFormat="1" x14ac:dyDescent="0.35">
      <c r="J213" s="153"/>
      <c r="K213" s="154"/>
      <c r="L213" s="154"/>
    </row>
    <row r="214" spans="10:12" s="17" customFormat="1" x14ac:dyDescent="0.35">
      <c r="J214" s="153"/>
      <c r="K214" s="154"/>
      <c r="L214" s="154"/>
    </row>
    <row r="215" spans="10:12" s="17" customFormat="1" x14ac:dyDescent="0.35">
      <c r="J215" s="153"/>
      <c r="K215" s="154"/>
      <c r="L215" s="154"/>
    </row>
    <row r="216" spans="10:12" s="17" customFormat="1" x14ac:dyDescent="0.35">
      <c r="J216" s="153"/>
      <c r="K216" s="154"/>
      <c r="L216" s="154"/>
    </row>
    <row r="217" spans="10:12" s="17" customFormat="1" x14ac:dyDescent="0.35">
      <c r="J217" s="153"/>
      <c r="K217" s="154"/>
      <c r="L217" s="154"/>
    </row>
    <row r="218" spans="10:12" s="17" customFormat="1" x14ac:dyDescent="0.35">
      <c r="J218" s="153"/>
      <c r="K218" s="154"/>
      <c r="L218" s="154"/>
    </row>
    <row r="219" spans="10:12" s="17" customFormat="1" x14ac:dyDescent="0.35">
      <c r="J219" s="153"/>
      <c r="K219" s="154"/>
      <c r="L219" s="154"/>
    </row>
    <row r="220" spans="10:12" s="17" customFormat="1" x14ac:dyDescent="0.35">
      <c r="J220" s="153"/>
      <c r="K220" s="154"/>
      <c r="L220" s="154"/>
    </row>
    <row r="221" spans="10:12" s="17" customFormat="1" x14ac:dyDescent="0.35">
      <c r="J221" s="153"/>
      <c r="K221" s="154"/>
      <c r="L221" s="154"/>
    </row>
    <row r="222" spans="10:12" s="17" customFormat="1" x14ac:dyDescent="0.35">
      <c r="J222" s="153"/>
      <c r="K222" s="154"/>
      <c r="L222" s="154"/>
    </row>
    <row r="223" spans="10:12" s="17" customFormat="1" x14ac:dyDescent="0.35">
      <c r="J223" s="153"/>
      <c r="K223" s="154"/>
      <c r="L223" s="154"/>
    </row>
    <row r="224" spans="10:12" s="17" customFormat="1" x14ac:dyDescent="0.35">
      <c r="J224" s="153"/>
      <c r="K224" s="154"/>
      <c r="L224" s="154"/>
    </row>
    <row r="225" spans="10:12" s="17" customFormat="1" x14ac:dyDescent="0.35">
      <c r="J225" s="153"/>
      <c r="K225" s="154"/>
      <c r="L225" s="154"/>
    </row>
    <row r="226" spans="10:12" s="17" customFormat="1" x14ac:dyDescent="0.35">
      <c r="J226" s="153"/>
      <c r="K226" s="154"/>
      <c r="L226" s="154"/>
    </row>
    <row r="227" spans="10:12" s="17" customFormat="1" x14ac:dyDescent="0.35">
      <c r="J227" s="153"/>
      <c r="K227" s="154"/>
      <c r="L227" s="154"/>
    </row>
    <row r="228" spans="10:12" s="17" customFormat="1" x14ac:dyDescent="0.35">
      <c r="J228" s="153"/>
      <c r="K228" s="154"/>
      <c r="L228" s="154"/>
    </row>
    <row r="229" spans="10:12" s="17" customFormat="1" x14ac:dyDescent="0.35">
      <c r="J229" s="153"/>
      <c r="K229" s="154"/>
      <c r="L229" s="154"/>
    </row>
    <row r="230" spans="10:12" s="17" customFormat="1" x14ac:dyDescent="0.35">
      <c r="J230" s="153"/>
      <c r="K230" s="154"/>
      <c r="L230" s="154"/>
    </row>
    <row r="231" spans="10:12" s="17" customFormat="1" x14ac:dyDescent="0.35">
      <c r="J231" s="153"/>
      <c r="K231" s="154"/>
      <c r="L231" s="154"/>
    </row>
    <row r="232" spans="10:12" s="17" customFormat="1" x14ac:dyDescent="0.35">
      <c r="J232" s="153"/>
      <c r="K232" s="154"/>
      <c r="L232" s="154"/>
    </row>
    <row r="233" spans="10:12" s="17" customFormat="1" x14ac:dyDescent="0.35">
      <c r="J233" s="153"/>
      <c r="K233" s="154"/>
      <c r="L233" s="154"/>
    </row>
    <row r="234" spans="10:12" s="17" customFormat="1" x14ac:dyDescent="0.35">
      <c r="J234" s="153"/>
      <c r="K234" s="154"/>
      <c r="L234" s="154"/>
    </row>
    <row r="235" spans="10:12" s="17" customFormat="1" x14ac:dyDescent="0.35">
      <c r="J235" s="153"/>
      <c r="K235" s="154"/>
      <c r="L235" s="154"/>
    </row>
    <row r="236" spans="10:12" s="17" customFormat="1" x14ac:dyDescent="0.35">
      <c r="J236" s="153"/>
      <c r="K236" s="154"/>
      <c r="L236" s="154"/>
    </row>
    <row r="237" spans="10:12" s="17" customFormat="1" x14ac:dyDescent="0.35">
      <c r="J237" s="153"/>
      <c r="K237" s="154"/>
      <c r="L237" s="154"/>
    </row>
    <row r="238" spans="10:12" s="17" customFormat="1" x14ac:dyDescent="0.35">
      <c r="J238" s="153"/>
      <c r="K238" s="154"/>
      <c r="L238" s="154"/>
    </row>
    <row r="239" spans="10:12" s="17" customFormat="1" x14ac:dyDescent="0.35">
      <c r="J239" s="153"/>
      <c r="K239" s="154"/>
      <c r="L239" s="154"/>
    </row>
    <row r="240" spans="10:12" s="17" customFormat="1" x14ac:dyDescent="0.35">
      <c r="J240" s="153"/>
      <c r="K240" s="154"/>
      <c r="L240" s="154"/>
    </row>
    <row r="241" spans="10:12" s="17" customFormat="1" x14ac:dyDescent="0.35">
      <c r="J241" s="153"/>
      <c r="K241" s="154"/>
      <c r="L241" s="154"/>
    </row>
    <row r="242" spans="10:12" s="17" customFormat="1" x14ac:dyDescent="0.35">
      <c r="J242" s="153"/>
      <c r="K242" s="154"/>
      <c r="L242" s="154"/>
    </row>
    <row r="243" spans="10:12" s="17" customFormat="1" x14ac:dyDescent="0.35">
      <c r="J243" s="153"/>
      <c r="K243" s="154"/>
      <c r="L243" s="154"/>
    </row>
    <row r="244" spans="10:12" s="17" customFormat="1" x14ac:dyDescent="0.35">
      <c r="J244" s="153"/>
      <c r="K244" s="154"/>
      <c r="L244" s="154"/>
    </row>
    <row r="245" spans="10:12" s="17" customFormat="1" x14ac:dyDescent="0.35">
      <c r="J245" s="153"/>
      <c r="K245" s="154"/>
      <c r="L245" s="154"/>
    </row>
    <row r="246" spans="10:12" s="17" customFormat="1" x14ac:dyDescent="0.35">
      <c r="J246" s="153"/>
      <c r="K246" s="154"/>
      <c r="L246" s="154"/>
    </row>
    <row r="247" spans="10:12" s="17" customFormat="1" x14ac:dyDescent="0.35">
      <c r="J247" s="153"/>
      <c r="K247" s="154"/>
      <c r="L247" s="154"/>
    </row>
    <row r="248" spans="10:12" s="17" customFormat="1" x14ac:dyDescent="0.35">
      <c r="J248" s="153"/>
      <c r="K248" s="154"/>
      <c r="L248" s="154"/>
    </row>
    <row r="249" spans="10:12" s="17" customFormat="1" x14ac:dyDescent="0.35">
      <c r="J249" s="153"/>
      <c r="K249" s="154"/>
      <c r="L249" s="154"/>
    </row>
    <row r="250" spans="10:12" s="17" customFormat="1" x14ac:dyDescent="0.35">
      <c r="J250" s="153"/>
      <c r="K250" s="154"/>
      <c r="L250" s="154"/>
    </row>
    <row r="251" spans="10:12" s="17" customFormat="1" x14ac:dyDescent="0.35">
      <c r="J251" s="153"/>
      <c r="K251" s="154"/>
      <c r="L251" s="154"/>
    </row>
    <row r="252" spans="10:12" s="17" customFormat="1" x14ac:dyDescent="0.35">
      <c r="J252" s="153"/>
      <c r="K252" s="154"/>
      <c r="L252" s="154"/>
    </row>
    <row r="253" spans="10:12" s="17" customFormat="1" x14ac:dyDescent="0.35">
      <c r="J253" s="153"/>
      <c r="K253" s="154"/>
      <c r="L253" s="154"/>
    </row>
    <row r="254" spans="10:12" s="17" customFormat="1" x14ac:dyDescent="0.35">
      <c r="J254" s="153"/>
      <c r="K254" s="154"/>
      <c r="L254" s="154"/>
    </row>
    <row r="255" spans="10:12" s="17" customFormat="1" x14ac:dyDescent="0.35">
      <c r="J255" s="153"/>
      <c r="K255" s="154"/>
      <c r="L255" s="154"/>
    </row>
    <row r="256" spans="10:12" s="17" customFormat="1" x14ac:dyDescent="0.35">
      <c r="J256" s="153"/>
      <c r="K256" s="154"/>
      <c r="L256" s="154"/>
    </row>
    <row r="257" spans="1:12" s="17" customFormat="1" x14ac:dyDescent="0.35">
      <c r="J257" s="153"/>
      <c r="K257" s="154"/>
      <c r="L257" s="154"/>
    </row>
    <row r="258" spans="1:12" s="17" customFormat="1" x14ac:dyDescent="0.35">
      <c r="J258" s="153"/>
      <c r="K258" s="154"/>
      <c r="L258" s="154"/>
    </row>
    <row r="259" spans="1:12" s="17" customFormat="1" x14ac:dyDescent="0.35">
      <c r="J259" s="153"/>
      <c r="K259" s="154"/>
      <c r="L259" s="154"/>
    </row>
    <row r="260" spans="1:12" s="17" customFormat="1" x14ac:dyDescent="0.35">
      <c r="J260" s="153"/>
      <c r="K260" s="154"/>
      <c r="L260" s="154"/>
    </row>
    <row r="261" spans="1:12" s="17" customFormat="1" x14ac:dyDescent="0.35">
      <c r="J261" s="153"/>
      <c r="K261" s="154"/>
      <c r="L261" s="154"/>
    </row>
    <row r="262" spans="1:12" s="17" customFormat="1" x14ac:dyDescent="0.35">
      <c r="G262" s="155" t="str">
        <f>+G70</f>
        <v>MULTIFA BF-1</v>
      </c>
      <c r="H262" s="155" t="str">
        <f t="shared" ref="H262:J262" si="12">+H70</f>
        <v>MULTIRE BF-1</v>
      </c>
      <c r="I262" s="155" t="str">
        <f t="shared" si="12"/>
        <v>MULTIFA BF-1</v>
      </c>
      <c r="J262" s="155" t="str">
        <f t="shared" si="12"/>
        <v>MULTIRE BF-1</v>
      </c>
      <c r="K262" s="154"/>
      <c r="L262" s="154"/>
    </row>
    <row r="263" spans="1:12" s="17" customFormat="1" x14ac:dyDescent="0.35">
      <c r="F263" s="156" t="s">
        <v>196</v>
      </c>
      <c r="G263" s="157">
        <f>+AVERAGE(G72:G107)</f>
        <v>1.1335744790365936E-2</v>
      </c>
      <c r="H263" s="157">
        <f t="shared" ref="H263:J263" si="13">+AVERAGE(H72:H107)</f>
        <v>6.4606283583896994E-3</v>
      </c>
      <c r="I263" s="157">
        <f t="shared" si="13"/>
        <v>0.13649955390311388</v>
      </c>
      <c r="J263" s="157">
        <f t="shared" si="13"/>
        <v>7.6399797522315835E-2</v>
      </c>
      <c r="K263" s="154"/>
      <c r="L263" s="154"/>
    </row>
    <row r="264" spans="1:12" s="17" customFormat="1" x14ac:dyDescent="0.35">
      <c r="F264" s="156" t="s">
        <v>197</v>
      </c>
      <c r="G264" s="157">
        <f>+STDEV(G72:G107)</f>
        <v>2.2980727063199487E-2</v>
      </c>
      <c r="H264" s="157">
        <f t="shared" ref="H264:J264" si="14">+STDEV(H72:H107)</f>
        <v>1.5761290656845608E-3</v>
      </c>
      <c r="I264" s="157">
        <f t="shared" si="14"/>
        <v>0.27932121374242175</v>
      </c>
      <c r="J264" s="157">
        <f t="shared" si="14"/>
        <v>1.8937079445322354E-2</v>
      </c>
      <c r="K264" s="154"/>
      <c r="L264" s="154"/>
    </row>
    <row r="265" spans="1:12" s="17" customFormat="1" x14ac:dyDescent="0.35">
      <c r="F265" s="156" t="s">
        <v>198</v>
      </c>
      <c r="G265" s="158">
        <f>IF(G263&gt;0,(G264/G263), )</f>
        <v>2.0272798557295002</v>
      </c>
      <c r="H265" s="158">
        <f t="shared" ref="H265:J265" si="15">IF(H263&gt;0,(H264/H263), )</f>
        <v>0.24395909782332817</v>
      </c>
      <c r="I265" s="158">
        <f t="shared" si="15"/>
        <v>2.0463159457699134</v>
      </c>
      <c r="J265" s="158">
        <f t="shared" si="15"/>
        <v>0.2478681889149113</v>
      </c>
      <c r="K265" s="154"/>
      <c r="L265" s="154"/>
    </row>
    <row r="266" spans="1:12" s="17" customFormat="1" x14ac:dyDescent="0.35">
      <c r="J266" s="153"/>
      <c r="K266" s="154"/>
      <c r="L266" s="154"/>
    </row>
    <row r="267" spans="1:12" s="17" customFormat="1" x14ac:dyDescent="0.35">
      <c r="J267" s="153"/>
      <c r="K267" s="154"/>
      <c r="L267" s="154"/>
    </row>
    <row r="268" spans="1:12" s="17" customFormat="1" x14ac:dyDescent="0.35">
      <c r="A268" s="17" t="str">
        <f>+B8</f>
        <v>MULTIFA BF-1</v>
      </c>
      <c r="B268" s="17" t="str">
        <f>+C8</f>
        <v>MULTIRE BF-1</v>
      </c>
      <c r="J268" s="153"/>
      <c r="K268" s="154"/>
      <c r="L268" s="154"/>
    </row>
    <row r="269" spans="1:12" s="17" customFormat="1" x14ac:dyDescent="0.35">
      <c r="A269" s="159">
        <f>+E107</f>
        <v>148.70547360824858</v>
      </c>
      <c r="B269" s="159">
        <f>+F107</f>
        <v>126.08569211986152</v>
      </c>
      <c r="J269" s="153"/>
      <c r="K269" s="154"/>
      <c r="L269" s="154"/>
    </row>
    <row r="270" spans="1:12" s="17" customFormat="1" x14ac:dyDescent="0.35">
      <c r="A270" s="160" t="str">
        <f>TEXT(A269,"$#,###.00")</f>
        <v>$148.71</v>
      </c>
      <c r="B270" s="160" t="str">
        <f>TEXT(B269,"$#,###.00")</f>
        <v>$126.09</v>
      </c>
      <c r="J270" s="153"/>
      <c r="K270" s="154"/>
      <c r="L270" s="154"/>
    </row>
    <row r="271" spans="1:12" s="17" customFormat="1" x14ac:dyDescent="0.35">
      <c r="J271" s="153"/>
      <c r="K271" s="154"/>
      <c r="L271" s="154"/>
    </row>
    <row r="272" spans="1:12" s="17" customFormat="1" x14ac:dyDescent="0.35">
      <c r="J272" s="153"/>
      <c r="K272" s="154"/>
      <c r="L272" s="154"/>
    </row>
    <row r="273" spans="1:30" s="17" customFormat="1" x14ac:dyDescent="0.35">
      <c r="J273" s="153"/>
      <c r="K273" s="154"/>
      <c r="L273" s="154"/>
    </row>
    <row r="274" spans="1:30" s="17" customFormat="1" x14ac:dyDescent="0.35">
      <c r="J274" s="153"/>
      <c r="K274" s="154"/>
      <c r="L274" s="154"/>
    </row>
    <row r="275" spans="1:30" s="17" customFormat="1" x14ac:dyDescent="0.35">
      <c r="J275" s="153"/>
      <c r="K275" s="154"/>
      <c r="L275" s="154"/>
    </row>
    <row r="276" spans="1:30" s="17" customFormat="1" x14ac:dyDescent="0.35">
      <c r="J276" s="153"/>
      <c r="K276" s="154"/>
      <c r="L276" s="154"/>
    </row>
    <row r="277" spans="1:30" s="17" customFormat="1" x14ac:dyDescent="0.35">
      <c r="I277" s="161"/>
      <c r="J277" s="162"/>
      <c r="K277" s="154"/>
      <c r="L277" s="154"/>
    </row>
    <row r="278" spans="1:30" s="161" customFormat="1" x14ac:dyDescent="0.35">
      <c r="A278" s="161" t="s">
        <v>25</v>
      </c>
      <c r="B278" s="161" t="s">
        <v>169</v>
      </c>
      <c r="E278" s="17"/>
      <c r="F278" s="17"/>
      <c r="G278" s="17"/>
      <c r="H278" s="17"/>
      <c r="I278" s="17"/>
      <c r="J278" s="17"/>
      <c r="K278" s="17"/>
      <c r="L278" s="17"/>
      <c r="M278" s="17"/>
      <c r="N278" s="17"/>
      <c r="O278" s="17"/>
      <c r="P278" s="17"/>
      <c r="Q278" s="17"/>
      <c r="R278" s="17"/>
      <c r="S278" s="17"/>
      <c r="T278" s="17"/>
      <c r="U278" s="17"/>
      <c r="V278" s="17"/>
      <c r="W278" s="17"/>
      <c r="X278" s="17"/>
      <c r="Y278" s="17"/>
      <c r="Z278" s="17"/>
      <c r="AA278" s="17"/>
      <c r="AB278" s="17"/>
      <c r="AC278" s="17"/>
      <c r="AD278" s="17"/>
    </row>
    <row r="279" spans="1:30" s="161" customFormat="1" x14ac:dyDescent="0.35">
      <c r="A279" s="161" t="s">
        <v>0</v>
      </c>
      <c r="B279" s="163">
        <f>VLOOKUP(A279,'MTX CARAC'!$A$4:$W$131,14,0)</f>
        <v>44925</v>
      </c>
      <c r="C279" s="163"/>
      <c r="E279" s="17"/>
      <c r="F279" s="17"/>
      <c r="G279" s="17"/>
      <c r="H279" s="17"/>
      <c r="I279" s="17"/>
      <c r="J279" s="17"/>
      <c r="K279" s="17"/>
      <c r="L279" s="17"/>
      <c r="M279" s="17"/>
      <c r="N279" s="17"/>
      <c r="O279" s="17"/>
      <c r="P279" s="17"/>
      <c r="Q279" s="17"/>
      <c r="R279" s="17"/>
      <c r="S279" s="17"/>
      <c r="T279" s="17"/>
      <c r="U279" s="17"/>
      <c r="V279" s="17"/>
      <c r="W279" s="17"/>
      <c r="X279" s="17"/>
      <c r="Y279" s="17"/>
      <c r="Z279" s="17"/>
      <c r="AA279" s="17"/>
      <c r="AB279" s="17"/>
      <c r="AC279" s="17"/>
      <c r="AD279" s="17"/>
    </row>
    <row r="280" spans="1:30" s="161" customFormat="1" x14ac:dyDescent="0.35">
      <c r="A280" s="161" t="s">
        <v>1</v>
      </c>
      <c r="B280" s="163">
        <f>VLOOKUP(A280,'MTX CARAC'!$A$4:$W$131,14,0)</f>
        <v>44925</v>
      </c>
      <c r="C280" s="163"/>
      <c r="E280" s="17"/>
      <c r="F280" s="17"/>
      <c r="G280" s="17"/>
      <c r="H280" s="17"/>
      <c r="I280" s="17"/>
      <c r="J280" s="17"/>
      <c r="K280" s="17"/>
      <c r="L280" s="17"/>
      <c r="M280" s="17"/>
      <c r="N280" s="17"/>
      <c r="O280" s="17"/>
      <c r="P280" s="17"/>
      <c r="Q280" s="17"/>
      <c r="R280" s="17"/>
      <c r="S280" s="17"/>
      <c r="T280" s="17"/>
      <c r="U280" s="17"/>
      <c r="V280" s="17"/>
      <c r="W280" s="17"/>
      <c r="X280" s="17"/>
      <c r="Y280" s="17"/>
      <c r="Z280" s="17"/>
      <c r="AA280" s="17"/>
      <c r="AB280" s="17"/>
      <c r="AC280" s="17"/>
      <c r="AD280" s="17"/>
    </row>
    <row r="281" spans="1:30" s="161" customFormat="1" x14ac:dyDescent="0.35">
      <c r="A281" s="161" t="s">
        <v>151</v>
      </c>
      <c r="B281" s="163">
        <f>VLOOKUP(A281,'MTX CARAC'!$A$4:$W$131,14,0)</f>
        <v>44925</v>
      </c>
      <c r="C281" s="163"/>
      <c r="E281" s="17"/>
      <c r="F281" s="17"/>
      <c r="G281" s="17"/>
      <c r="H281" s="17"/>
      <c r="I281" s="17"/>
      <c r="J281" s="17"/>
      <c r="K281" s="17"/>
      <c r="L281" s="17"/>
      <c r="M281" s="17"/>
      <c r="N281" s="17"/>
      <c r="O281" s="17"/>
      <c r="P281" s="17"/>
      <c r="Q281" s="17"/>
      <c r="R281" s="17"/>
      <c r="S281" s="17"/>
      <c r="T281" s="17"/>
      <c r="U281" s="17"/>
      <c r="V281" s="17"/>
      <c r="W281" s="17"/>
      <c r="X281" s="17"/>
      <c r="Y281" s="17"/>
      <c r="Z281" s="17"/>
      <c r="AA281" s="17"/>
      <c r="AB281" s="17"/>
      <c r="AC281" s="17"/>
      <c r="AD281" s="17"/>
    </row>
    <row r="282" spans="1:30" s="161" customFormat="1" x14ac:dyDescent="0.35">
      <c r="A282" s="161" t="s">
        <v>152</v>
      </c>
      <c r="B282" s="163">
        <f>VLOOKUP(A282,'MTX CARAC'!$A$4:$W$131,14,0)</f>
        <v>44925</v>
      </c>
      <c r="C282" s="163"/>
      <c r="E282" s="17"/>
      <c r="F282" s="17"/>
      <c r="G282" s="17"/>
      <c r="H282" s="17"/>
      <c r="I282" s="17"/>
      <c r="J282" s="17"/>
      <c r="K282" s="17"/>
      <c r="L282" s="17"/>
      <c r="M282" s="17"/>
      <c r="N282" s="17"/>
      <c r="O282" s="17"/>
      <c r="P282" s="17"/>
      <c r="Q282" s="17"/>
      <c r="R282" s="17"/>
      <c r="S282" s="17"/>
      <c r="T282" s="17"/>
      <c r="U282" s="17"/>
      <c r="V282" s="17"/>
      <c r="W282" s="17"/>
      <c r="X282" s="17"/>
      <c r="Y282" s="17"/>
      <c r="Z282" s="17"/>
      <c r="AA282" s="17"/>
      <c r="AB282" s="17"/>
      <c r="AC282" s="17"/>
      <c r="AD282" s="17"/>
    </row>
    <row r="283" spans="1:30" s="161" customFormat="1" x14ac:dyDescent="0.35">
      <c r="A283" s="161" t="s">
        <v>2</v>
      </c>
      <c r="B283" s="163">
        <f>VLOOKUP(A283,'MTX CARAC'!$A$4:$W$131,14,0)</f>
        <v>44925</v>
      </c>
      <c r="C283" s="163"/>
      <c r="E283" s="17"/>
      <c r="F283" s="17"/>
      <c r="G283" s="17"/>
      <c r="H283" s="17"/>
      <c r="I283" s="17"/>
      <c r="J283" s="17"/>
      <c r="K283" s="17"/>
      <c r="L283" s="17"/>
      <c r="M283" s="17"/>
      <c r="N283" s="17"/>
      <c r="O283" s="17"/>
      <c r="P283" s="17"/>
      <c r="Q283" s="17"/>
      <c r="R283" s="17"/>
      <c r="S283" s="17"/>
      <c r="T283" s="17"/>
      <c r="U283" s="17"/>
      <c r="V283" s="17"/>
      <c r="W283" s="17"/>
      <c r="X283" s="17"/>
      <c r="Y283" s="17"/>
      <c r="Z283" s="17"/>
      <c r="AA283" s="17"/>
      <c r="AB283" s="17"/>
      <c r="AC283" s="17"/>
      <c r="AD283" s="17"/>
    </row>
    <row r="284" spans="1:30" s="161" customFormat="1" x14ac:dyDescent="0.35">
      <c r="A284" s="161" t="s">
        <v>150</v>
      </c>
      <c r="B284" s="163">
        <f>VLOOKUP(A284,'MTX CARAC'!$A$4:$W$131,14,0)</f>
        <v>44925</v>
      </c>
      <c r="C284" s="163"/>
      <c r="E284" s="17"/>
      <c r="F284" s="17"/>
      <c r="G284" s="17"/>
      <c r="H284" s="17"/>
      <c r="I284" s="17"/>
      <c r="J284" s="17"/>
      <c r="K284" s="17"/>
      <c r="L284" s="17"/>
      <c r="M284" s="17"/>
      <c r="N284" s="17"/>
      <c r="O284" s="17"/>
      <c r="P284" s="17"/>
      <c r="Q284" s="17"/>
      <c r="R284" s="17"/>
      <c r="S284" s="17"/>
      <c r="T284" s="17"/>
      <c r="U284" s="17"/>
      <c r="V284" s="17"/>
      <c r="W284" s="17"/>
      <c r="X284" s="17"/>
      <c r="Y284" s="17"/>
      <c r="Z284" s="17"/>
      <c r="AA284" s="17"/>
      <c r="AB284" s="17"/>
      <c r="AC284" s="17"/>
      <c r="AD284" s="17"/>
    </row>
    <row r="285" spans="1:30" s="161" customFormat="1" x14ac:dyDescent="0.35">
      <c r="A285" s="161" t="s">
        <v>84</v>
      </c>
      <c r="B285" s="163">
        <f>VLOOKUP(A285,'MTX CARAC'!$A$4:$W$131,14,0)</f>
        <v>44925</v>
      </c>
      <c r="C285" s="163"/>
      <c r="E285" s="17"/>
      <c r="F285" s="17"/>
      <c r="G285" s="17"/>
      <c r="H285" s="17"/>
      <c r="I285" s="17"/>
      <c r="J285" s="17"/>
      <c r="K285" s="17"/>
      <c r="L285" s="17"/>
      <c r="M285" s="17"/>
      <c r="N285" s="17"/>
      <c r="O285" s="17"/>
      <c r="P285" s="17"/>
      <c r="Q285" s="17"/>
      <c r="R285" s="17"/>
      <c r="S285" s="17"/>
      <c r="T285" s="17"/>
      <c r="U285" s="17"/>
      <c r="V285" s="17"/>
      <c r="W285" s="17"/>
      <c r="X285" s="17"/>
      <c r="Y285" s="17"/>
      <c r="Z285" s="17"/>
      <c r="AA285" s="17"/>
      <c r="AB285" s="17"/>
      <c r="AC285" s="17"/>
      <c r="AD285" s="17"/>
    </row>
    <row r="286" spans="1:30" s="161" customFormat="1" x14ac:dyDescent="0.35">
      <c r="A286" s="161" t="s">
        <v>85</v>
      </c>
      <c r="B286" s="163">
        <f>VLOOKUP(A286,'MTX CARAC'!$A$4:$W$131,14,0)</f>
        <v>44925</v>
      </c>
      <c r="C286" s="163"/>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row>
    <row r="287" spans="1:30" s="161" customFormat="1" x14ac:dyDescent="0.35">
      <c r="A287" s="161" t="s">
        <v>88</v>
      </c>
      <c r="B287" s="163">
        <f>VLOOKUP(A287,'MTX CARAC'!$A$4:$W$131,14,0)</f>
        <v>44925</v>
      </c>
      <c r="C287" s="163"/>
      <c r="E287" s="17"/>
      <c r="F287" s="17"/>
      <c r="G287" s="17"/>
      <c r="H287" s="17"/>
      <c r="I287" s="17"/>
      <c r="J287" s="17"/>
      <c r="K287" s="17"/>
      <c r="L287" s="17"/>
      <c r="M287" s="17"/>
      <c r="N287" s="17"/>
      <c r="O287" s="17"/>
      <c r="P287" s="17"/>
      <c r="Q287" s="17"/>
      <c r="R287" s="17"/>
      <c r="S287" s="17"/>
      <c r="T287" s="17"/>
      <c r="U287" s="17"/>
      <c r="V287" s="17"/>
      <c r="W287" s="17"/>
      <c r="X287" s="17"/>
      <c r="Y287" s="17"/>
      <c r="Z287" s="17"/>
      <c r="AA287" s="17"/>
      <c r="AB287" s="17"/>
      <c r="AC287" s="17"/>
      <c r="AD287" s="17"/>
    </row>
    <row r="288" spans="1:30" s="161" customFormat="1" x14ac:dyDescent="0.35">
      <c r="A288" s="161" t="s">
        <v>89</v>
      </c>
      <c r="B288" s="163">
        <f>VLOOKUP(A288,'MTX CARAC'!$A$4:$W$131,14,0)</f>
        <v>44925</v>
      </c>
      <c r="C288" s="163"/>
      <c r="E288" s="17"/>
      <c r="F288" s="17"/>
      <c r="G288" s="17"/>
      <c r="H288" s="17"/>
      <c r="I288" s="17"/>
      <c r="J288" s="17"/>
      <c r="K288" s="17"/>
      <c r="L288" s="17"/>
      <c r="M288" s="17"/>
      <c r="N288" s="17"/>
      <c r="O288" s="17"/>
      <c r="P288" s="17"/>
      <c r="Q288" s="17"/>
      <c r="R288" s="17"/>
      <c r="S288" s="17"/>
      <c r="T288" s="17"/>
      <c r="U288" s="17"/>
      <c r="V288" s="17"/>
      <c r="W288" s="17"/>
      <c r="X288" s="17"/>
      <c r="Y288" s="17"/>
      <c r="Z288" s="17"/>
      <c r="AA288" s="17"/>
      <c r="AB288" s="17"/>
      <c r="AC288" s="17"/>
      <c r="AD288" s="17"/>
    </row>
    <row r="289" spans="1:30" s="161" customFormat="1" x14ac:dyDescent="0.35">
      <c r="A289" s="161" t="s">
        <v>90</v>
      </c>
      <c r="B289" s="163">
        <f>VLOOKUP(A289,'MTX CARAC'!$A$4:$W$131,14,0)</f>
        <v>44925</v>
      </c>
      <c r="C289" s="163"/>
      <c r="E289" s="17"/>
      <c r="F289" s="17"/>
      <c r="G289" s="17"/>
      <c r="H289" s="17"/>
      <c r="I289" s="17"/>
      <c r="J289" s="17"/>
      <c r="K289" s="17"/>
      <c r="L289" s="17"/>
      <c r="M289" s="17"/>
      <c r="N289" s="17"/>
      <c r="O289" s="17"/>
      <c r="P289" s="17"/>
      <c r="Q289" s="17"/>
      <c r="R289" s="17"/>
      <c r="S289" s="17"/>
      <c r="T289" s="17"/>
      <c r="U289" s="17"/>
      <c r="V289" s="17"/>
      <c r="W289" s="17"/>
      <c r="X289" s="17"/>
      <c r="Y289" s="17"/>
      <c r="Z289" s="17"/>
      <c r="AA289" s="17"/>
      <c r="AB289" s="17"/>
      <c r="AC289" s="17"/>
      <c r="AD289" s="17"/>
    </row>
    <row r="290" spans="1:30" s="161" customFormat="1" x14ac:dyDescent="0.35">
      <c r="A290" s="161" t="s">
        <v>86</v>
      </c>
      <c r="B290" s="163">
        <f>VLOOKUP(A290,'MTX CARAC'!$A$4:$W$131,14,0)</f>
        <v>44925</v>
      </c>
      <c r="C290" s="163"/>
      <c r="E290" s="17"/>
      <c r="F290" s="17"/>
      <c r="G290" s="17"/>
      <c r="H290" s="17"/>
      <c r="I290" s="17"/>
      <c r="J290" s="17"/>
      <c r="K290" s="17"/>
      <c r="L290" s="17"/>
      <c r="M290" s="17"/>
      <c r="N290" s="17"/>
      <c r="O290" s="17"/>
      <c r="P290" s="17"/>
      <c r="Q290" s="17"/>
      <c r="R290" s="17"/>
      <c r="S290" s="17"/>
      <c r="T290" s="17"/>
      <c r="U290" s="17"/>
      <c r="V290" s="17"/>
      <c r="W290" s="17"/>
      <c r="X290" s="17"/>
      <c r="Y290" s="17"/>
      <c r="Z290" s="17"/>
      <c r="AA290" s="17"/>
      <c r="AB290" s="17"/>
      <c r="AC290" s="17"/>
      <c r="AD290" s="17"/>
    </row>
    <row r="291" spans="1:30" s="161" customFormat="1" x14ac:dyDescent="0.35">
      <c r="A291" s="161" t="s">
        <v>87</v>
      </c>
      <c r="B291" s="163">
        <f>VLOOKUP(A291,'MTX CARAC'!$A$4:$W$131,14,0)</f>
        <v>44925</v>
      </c>
      <c r="C291" s="163"/>
      <c r="E291" s="17"/>
      <c r="F291" s="17"/>
      <c r="G291" s="17"/>
      <c r="H291" s="17"/>
      <c r="I291" s="17"/>
      <c r="J291" s="17"/>
      <c r="K291" s="17"/>
      <c r="L291" s="17"/>
      <c r="M291" s="17"/>
      <c r="N291" s="17"/>
      <c r="O291" s="17"/>
      <c r="P291" s="17"/>
      <c r="Q291" s="17"/>
      <c r="R291" s="17"/>
      <c r="S291" s="17"/>
      <c r="T291" s="17"/>
      <c r="U291" s="17"/>
      <c r="V291" s="17"/>
      <c r="W291" s="17"/>
      <c r="X291" s="17"/>
      <c r="Y291" s="17"/>
      <c r="Z291" s="17"/>
      <c r="AA291" s="17"/>
      <c r="AB291" s="17"/>
      <c r="AC291" s="17"/>
      <c r="AD291" s="17"/>
    </row>
    <row r="292" spans="1:30" s="161" customFormat="1" x14ac:dyDescent="0.35">
      <c r="A292" s="161" t="s">
        <v>92</v>
      </c>
      <c r="B292" s="163">
        <f>VLOOKUP(A292,'MTX CARAC'!$A$4:$W$131,14,0)</f>
        <v>44925</v>
      </c>
      <c r="C292" s="163"/>
      <c r="E292" s="17"/>
      <c r="F292" s="17"/>
      <c r="G292" s="17"/>
      <c r="H292" s="17"/>
      <c r="I292" s="17"/>
      <c r="J292" s="17"/>
      <c r="K292" s="17"/>
      <c r="L292" s="17"/>
      <c r="M292" s="17"/>
      <c r="N292" s="17"/>
      <c r="O292" s="17"/>
      <c r="P292" s="17"/>
      <c r="Q292" s="17"/>
      <c r="R292" s="17"/>
      <c r="S292" s="17"/>
      <c r="T292" s="17"/>
      <c r="U292" s="17"/>
      <c r="V292" s="17"/>
      <c r="W292" s="17"/>
      <c r="X292" s="17"/>
      <c r="Y292" s="17"/>
      <c r="Z292" s="17"/>
      <c r="AA292" s="17"/>
      <c r="AB292" s="17"/>
      <c r="AC292" s="17"/>
      <c r="AD292" s="17"/>
    </row>
    <row r="293" spans="1:30" s="161" customFormat="1" x14ac:dyDescent="0.35">
      <c r="A293" s="161" t="s">
        <v>93</v>
      </c>
      <c r="B293" s="163">
        <f>VLOOKUP(A293,'MTX CARAC'!$A$4:$W$131,14,0)</f>
        <v>44925</v>
      </c>
      <c r="C293" s="163"/>
      <c r="E293" s="17"/>
      <c r="F293" s="17"/>
      <c r="G293" s="17"/>
      <c r="H293" s="17"/>
      <c r="I293" s="17"/>
      <c r="J293" s="17"/>
      <c r="K293" s="17"/>
      <c r="L293" s="17"/>
      <c r="M293" s="17"/>
      <c r="N293" s="17"/>
      <c r="O293" s="17"/>
      <c r="P293" s="17"/>
      <c r="Q293" s="17"/>
      <c r="R293" s="17"/>
      <c r="S293" s="17"/>
      <c r="T293" s="17"/>
      <c r="U293" s="17"/>
      <c r="V293" s="17"/>
      <c r="W293" s="17"/>
      <c r="X293" s="17"/>
      <c r="Y293" s="17"/>
      <c r="Z293" s="17"/>
      <c r="AA293" s="17"/>
      <c r="AB293" s="17"/>
      <c r="AC293" s="17"/>
      <c r="AD293" s="17"/>
    </row>
    <row r="294" spans="1:30" s="161" customFormat="1" x14ac:dyDescent="0.35">
      <c r="A294" s="161" t="s">
        <v>94</v>
      </c>
      <c r="B294" s="163">
        <f>VLOOKUP(A294,'MTX CARAC'!$A$4:$W$131,14,0)</f>
        <v>44925</v>
      </c>
      <c r="C294" s="163"/>
      <c r="E294" s="17"/>
      <c r="F294" s="17"/>
      <c r="G294" s="17"/>
      <c r="H294" s="17"/>
      <c r="I294" s="17"/>
      <c r="J294" s="17"/>
      <c r="K294" s="17"/>
      <c r="L294" s="17"/>
      <c r="M294" s="17"/>
      <c r="N294" s="17"/>
      <c r="O294" s="17"/>
      <c r="P294" s="17"/>
      <c r="Q294" s="17"/>
      <c r="R294" s="17"/>
      <c r="S294" s="17"/>
      <c r="T294" s="17"/>
      <c r="U294" s="17"/>
      <c r="V294" s="17"/>
      <c r="W294" s="17"/>
      <c r="X294" s="17"/>
      <c r="Y294" s="17"/>
      <c r="Z294" s="17"/>
      <c r="AA294" s="17"/>
      <c r="AB294" s="17"/>
      <c r="AC294" s="17"/>
      <c r="AD294" s="17"/>
    </row>
    <row r="295" spans="1:30" s="161" customFormat="1" x14ac:dyDescent="0.35">
      <c r="A295" s="161" t="s">
        <v>91</v>
      </c>
      <c r="B295" s="163">
        <f>VLOOKUP(A295,'MTX CARAC'!$A$4:$W$131,14,0)</f>
        <v>44925</v>
      </c>
      <c r="C295" s="163"/>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row>
    <row r="296" spans="1:30" s="161" customFormat="1" x14ac:dyDescent="0.35">
      <c r="A296" s="161" t="s">
        <v>114</v>
      </c>
      <c r="B296" s="163">
        <f>VLOOKUP(A296,'MTX CARAC'!$A$4:$W$131,14,0)</f>
        <v>44925</v>
      </c>
      <c r="C296" s="163"/>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row>
    <row r="297" spans="1:30" s="161" customFormat="1" x14ac:dyDescent="0.35">
      <c r="A297" s="161" t="s">
        <v>115</v>
      </c>
      <c r="B297" s="163">
        <f>VLOOKUP(A297,'MTX CARAC'!$A$4:$W$131,14,0)</f>
        <v>44925</v>
      </c>
      <c r="C297" s="163"/>
      <c r="E297" s="17"/>
      <c r="F297" s="17"/>
      <c r="G297" s="17"/>
      <c r="H297" s="17"/>
      <c r="I297" s="17"/>
      <c r="J297" s="17"/>
      <c r="K297" s="17"/>
      <c r="L297" s="17"/>
      <c r="M297" s="17"/>
      <c r="N297" s="17"/>
      <c r="O297" s="17"/>
      <c r="P297" s="17"/>
      <c r="Q297" s="17"/>
      <c r="R297" s="17"/>
      <c r="S297" s="17"/>
      <c r="T297" s="17"/>
      <c r="U297" s="17"/>
      <c r="V297" s="17"/>
      <c r="W297" s="17"/>
      <c r="X297" s="17"/>
      <c r="Y297" s="17"/>
      <c r="Z297" s="17"/>
      <c r="AA297" s="17"/>
      <c r="AB297" s="17"/>
      <c r="AC297" s="17"/>
      <c r="AD297" s="17"/>
    </row>
    <row r="298" spans="1:30" s="161" customFormat="1" x14ac:dyDescent="0.35">
      <c r="A298" s="161" t="s">
        <v>118</v>
      </c>
      <c r="B298" s="163">
        <f>VLOOKUP(A298,'MTX CARAC'!$A$4:$W$131,14,0)</f>
        <v>44925</v>
      </c>
      <c r="C298" s="163"/>
      <c r="E298" s="17"/>
      <c r="F298" s="17"/>
      <c r="G298" s="17"/>
      <c r="H298" s="17"/>
      <c r="I298" s="17"/>
      <c r="J298" s="17"/>
      <c r="K298" s="17"/>
      <c r="L298" s="17"/>
      <c r="M298" s="17"/>
      <c r="N298" s="17"/>
      <c r="O298" s="17"/>
      <c r="P298" s="17"/>
      <c r="Q298" s="17"/>
      <c r="R298" s="17"/>
      <c r="S298" s="17"/>
      <c r="T298" s="17"/>
      <c r="U298" s="17"/>
      <c r="V298" s="17"/>
      <c r="W298" s="17"/>
      <c r="X298" s="17"/>
      <c r="Y298" s="17"/>
      <c r="Z298" s="17"/>
      <c r="AA298" s="17"/>
      <c r="AB298" s="17"/>
      <c r="AC298" s="17"/>
      <c r="AD298" s="17"/>
    </row>
    <row r="299" spans="1:30" s="161" customFormat="1" x14ac:dyDescent="0.35">
      <c r="A299" s="161" t="s">
        <v>119</v>
      </c>
      <c r="B299" s="163">
        <f>VLOOKUP(A299,'MTX CARAC'!$A$4:$W$131,14,0)</f>
        <v>44925</v>
      </c>
      <c r="C299" s="163"/>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row>
    <row r="300" spans="1:30" s="161" customFormat="1" x14ac:dyDescent="0.35">
      <c r="A300" s="161" t="s">
        <v>120</v>
      </c>
      <c r="B300" s="163">
        <f>VLOOKUP(A300,'MTX CARAC'!$A$4:$W$131,14,0)</f>
        <v>44925</v>
      </c>
      <c r="C300" s="163"/>
      <c r="E300" s="17"/>
      <c r="F300" s="17"/>
      <c r="G300" s="17"/>
      <c r="H300" s="17"/>
      <c r="I300" s="17"/>
      <c r="J300" s="17"/>
      <c r="K300" s="17"/>
      <c r="L300" s="17"/>
      <c r="M300" s="17"/>
      <c r="N300" s="17"/>
      <c r="O300" s="17"/>
      <c r="P300" s="17"/>
      <c r="Q300" s="17"/>
      <c r="R300" s="17"/>
      <c r="S300" s="17"/>
      <c r="T300" s="17"/>
      <c r="U300" s="17"/>
      <c r="V300" s="17"/>
      <c r="W300" s="17"/>
      <c r="X300" s="17"/>
      <c r="Y300" s="17"/>
      <c r="Z300" s="17"/>
      <c r="AA300" s="17"/>
      <c r="AB300" s="17"/>
      <c r="AC300" s="17"/>
      <c r="AD300" s="17"/>
    </row>
    <row r="301" spans="1:30" s="161" customFormat="1" x14ac:dyDescent="0.35">
      <c r="A301" s="161" t="s">
        <v>116</v>
      </c>
      <c r="B301" s="163">
        <f>VLOOKUP(A301,'MTX CARAC'!$A$4:$W$131,14,0)</f>
        <v>44925</v>
      </c>
      <c r="C301" s="163"/>
      <c r="E301" s="17"/>
      <c r="F301" s="17"/>
      <c r="G301" s="17"/>
      <c r="H301" s="17"/>
      <c r="I301" s="17"/>
      <c r="J301" s="17"/>
      <c r="K301" s="17"/>
      <c r="L301" s="17"/>
      <c r="M301" s="17"/>
      <c r="N301" s="17"/>
      <c r="O301" s="17"/>
      <c r="P301" s="17"/>
      <c r="Q301" s="17"/>
      <c r="R301" s="17"/>
      <c r="S301" s="17"/>
      <c r="T301" s="17"/>
      <c r="U301" s="17"/>
      <c r="V301" s="17"/>
      <c r="W301" s="17"/>
      <c r="X301" s="17"/>
      <c r="Y301" s="17"/>
      <c r="Z301" s="17"/>
      <c r="AA301" s="17"/>
      <c r="AB301" s="17"/>
      <c r="AC301" s="17"/>
      <c r="AD301" s="17"/>
    </row>
    <row r="302" spans="1:30" s="161" customFormat="1" x14ac:dyDescent="0.35">
      <c r="A302" s="161" t="s">
        <v>117</v>
      </c>
      <c r="B302" s="163">
        <f>VLOOKUP(A302,'MTX CARAC'!$A$4:$W$131,14,0)</f>
        <v>44925</v>
      </c>
      <c r="C302" s="163"/>
      <c r="E302" s="17"/>
      <c r="F302" s="17"/>
      <c r="G302" s="17"/>
      <c r="H302" s="17"/>
      <c r="I302" s="17"/>
      <c r="J302" s="17"/>
      <c r="K302" s="17"/>
      <c r="L302" s="17"/>
      <c r="M302" s="17"/>
      <c r="N302" s="17"/>
      <c r="O302" s="17"/>
      <c r="P302" s="17"/>
      <c r="Q302" s="17"/>
      <c r="R302" s="17"/>
      <c r="S302" s="17"/>
      <c r="T302" s="17"/>
      <c r="U302" s="17"/>
      <c r="V302" s="17"/>
      <c r="W302" s="17"/>
      <c r="X302" s="17"/>
      <c r="Y302" s="17"/>
      <c r="Z302" s="17"/>
      <c r="AA302" s="17"/>
      <c r="AB302" s="17"/>
      <c r="AC302" s="17"/>
      <c r="AD302" s="17"/>
    </row>
    <row r="303" spans="1:30" s="161" customFormat="1" x14ac:dyDescent="0.35">
      <c r="A303" s="161" t="s">
        <v>122</v>
      </c>
      <c r="B303" s="163">
        <f>VLOOKUP(A303,'MTX CARAC'!$A$4:$W$131,14,0)</f>
        <v>44925</v>
      </c>
      <c r="C303" s="163"/>
      <c r="E303" s="17"/>
      <c r="F303" s="17"/>
      <c r="G303" s="17"/>
      <c r="H303" s="17"/>
      <c r="I303" s="17"/>
      <c r="J303" s="17"/>
      <c r="K303" s="17"/>
      <c r="L303" s="17"/>
      <c r="M303" s="17"/>
      <c r="N303" s="17"/>
      <c r="O303" s="17"/>
      <c r="P303" s="17"/>
      <c r="Q303" s="17"/>
      <c r="R303" s="17"/>
      <c r="S303" s="17"/>
      <c r="T303" s="17"/>
      <c r="U303" s="17"/>
      <c r="V303" s="17"/>
      <c r="W303" s="17"/>
      <c r="X303" s="17"/>
      <c r="Y303" s="17"/>
      <c r="Z303" s="17"/>
      <c r="AA303" s="17"/>
      <c r="AB303" s="17"/>
      <c r="AC303" s="17"/>
      <c r="AD303" s="17"/>
    </row>
    <row r="304" spans="1:30" s="161" customFormat="1" x14ac:dyDescent="0.35">
      <c r="A304" s="161" t="s">
        <v>123</v>
      </c>
      <c r="B304" s="163">
        <f>VLOOKUP(A304,'MTX CARAC'!$A$4:$W$131,14,0)</f>
        <v>44925</v>
      </c>
      <c r="C304" s="163"/>
      <c r="E304" s="17"/>
      <c r="F304" s="17"/>
      <c r="G304" s="17"/>
      <c r="H304" s="17"/>
      <c r="I304" s="17"/>
      <c r="J304" s="17"/>
      <c r="K304" s="17"/>
      <c r="L304" s="17"/>
      <c r="M304" s="17"/>
      <c r="N304" s="17"/>
      <c r="O304" s="17"/>
      <c r="P304" s="17"/>
      <c r="Q304" s="17"/>
      <c r="R304" s="17"/>
      <c r="S304" s="17"/>
      <c r="T304" s="17"/>
      <c r="U304" s="17"/>
      <c r="V304" s="17"/>
      <c r="W304" s="17"/>
      <c r="X304" s="17"/>
      <c r="Y304" s="17"/>
      <c r="Z304" s="17"/>
      <c r="AA304" s="17"/>
      <c r="AB304" s="17"/>
      <c r="AC304" s="17"/>
      <c r="AD304" s="17"/>
    </row>
    <row r="305" spans="1:30" s="161" customFormat="1" x14ac:dyDescent="0.35">
      <c r="A305" s="161" t="s">
        <v>124</v>
      </c>
      <c r="B305" s="163">
        <f>VLOOKUP(A305,'MTX CARAC'!$A$4:$W$131,14,0)</f>
        <v>44925</v>
      </c>
      <c r="C305" s="163"/>
      <c r="E305" s="17"/>
      <c r="F305" s="17"/>
      <c r="G305" s="17"/>
      <c r="H305" s="17"/>
      <c r="I305" s="17"/>
      <c r="J305" s="17"/>
      <c r="K305" s="17"/>
      <c r="L305" s="17"/>
      <c r="M305" s="17"/>
      <c r="N305" s="17"/>
      <c r="O305" s="17"/>
      <c r="P305" s="17"/>
      <c r="Q305" s="17"/>
      <c r="R305" s="17"/>
      <c r="S305" s="17"/>
      <c r="T305" s="17"/>
      <c r="U305" s="17"/>
      <c r="V305" s="17"/>
      <c r="W305" s="17"/>
      <c r="X305" s="17"/>
      <c r="Y305" s="17"/>
      <c r="Z305" s="17"/>
      <c r="AA305" s="17"/>
      <c r="AB305" s="17"/>
      <c r="AC305" s="17"/>
      <c r="AD305" s="17"/>
    </row>
    <row r="306" spans="1:30" s="161" customFormat="1" x14ac:dyDescent="0.35">
      <c r="A306" s="161" t="s">
        <v>121</v>
      </c>
      <c r="B306" s="163">
        <f>VLOOKUP(A306,'MTX CARAC'!$A$4:$W$131,14,0)</f>
        <v>44925</v>
      </c>
      <c r="C306" s="163"/>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row>
    <row r="307" spans="1:30" s="161" customFormat="1" x14ac:dyDescent="0.35">
      <c r="A307" s="161" t="s">
        <v>140</v>
      </c>
      <c r="B307" s="163">
        <f>VLOOKUP(A307,'MTX CARAC'!$A$4:$W$131,14,0)</f>
        <v>44925</v>
      </c>
      <c r="C307" s="163"/>
      <c r="E307" s="17"/>
      <c r="F307" s="17"/>
      <c r="G307" s="17"/>
      <c r="H307" s="17"/>
      <c r="I307" s="17"/>
      <c r="J307" s="17"/>
      <c r="K307" s="17"/>
      <c r="L307" s="17"/>
      <c r="M307" s="17"/>
      <c r="N307" s="17"/>
      <c r="O307" s="17"/>
      <c r="P307" s="17"/>
      <c r="Q307" s="17"/>
      <c r="R307" s="17"/>
      <c r="S307" s="17"/>
      <c r="T307" s="17"/>
      <c r="U307" s="17"/>
      <c r="V307" s="17"/>
      <c r="W307" s="17"/>
      <c r="X307" s="17"/>
      <c r="Y307" s="17"/>
      <c r="Z307" s="17"/>
      <c r="AA307" s="17"/>
      <c r="AB307" s="17"/>
      <c r="AC307" s="17"/>
      <c r="AD307" s="17"/>
    </row>
    <row r="308" spans="1:30" s="161" customFormat="1" x14ac:dyDescent="0.35">
      <c r="A308" s="161" t="s">
        <v>134</v>
      </c>
      <c r="B308" s="163">
        <f>VLOOKUP(A308,'MTX CARAC'!$A$4:$W$131,14,0)</f>
        <v>44925</v>
      </c>
      <c r="C308" s="163"/>
      <c r="E308" s="17"/>
      <c r="F308" s="17"/>
      <c r="G308" s="17"/>
      <c r="H308" s="17"/>
      <c r="I308" s="17"/>
      <c r="J308" s="17"/>
      <c r="K308" s="17"/>
      <c r="L308" s="17"/>
      <c r="M308" s="17"/>
      <c r="N308" s="17"/>
      <c r="O308" s="17"/>
      <c r="P308" s="17"/>
      <c r="Q308" s="17"/>
      <c r="R308" s="17"/>
      <c r="S308" s="17"/>
      <c r="T308" s="17"/>
      <c r="U308" s="17"/>
      <c r="V308" s="17"/>
      <c r="W308" s="17"/>
      <c r="X308" s="17"/>
      <c r="Y308" s="17"/>
      <c r="Z308" s="17"/>
      <c r="AA308" s="17"/>
      <c r="AB308" s="17"/>
      <c r="AC308" s="17"/>
      <c r="AD308" s="17"/>
    </row>
    <row r="309" spans="1:30" s="161" customFormat="1" x14ac:dyDescent="0.35">
      <c r="A309" s="161" t="s">
        <v>135</v>
      </c>
      <c r="B309" s="163">
        <f>VLOOKUP(A309,'MTX CARAC'!$A$4:$W$131,14,0)</f>
        <v>44925</v>
      </c>
      <c r="C309" s="163"/>
      <c r="E309" s="17"/>
      <c r="F309" s="17"/>
      <c r="G309" s="17"/>
      <c r="H309" s="17"/>
      <c r="I309" s="17"/>
      <c r="J309" s="17"/>
      <c r="K309" s="17"/>
      <c r="L309" s="17"/>
      <c r="M309" s="17"/>
      <c r="N309" s="17"/>
      <c r="O309" s="17"/>
      <c r="P309" s="17"/>
      <c r="Q309" s="17"/>
      <c r="R309" s="17"/>
      <c r="S309" s="17"/>
      <c r="T309" s="17"/>
      <c r="U309" s="17"/>
      <c r="V309" s="17"/>
      <c r="W309" s="17"/>
      <c r="X309" s="17"/>
      <c r="Y309" s="17"/>
      <c r="Z309" s="17"/>
      <c r="AA309" s="17"/>
      <c r="AB309" s="17"/>
      <c r="AC309" s="17"/>
      <c r="AD309" s="17"/>
    </row>
    <row r="310" spans="1:30" s="161" customFormat="1" x14ac:dyDescent="0.35">
      <c r="A310" s="161" t="s">
        <v>136</v>
      </c>
      <c r="B310" s="163">
        <f>VLOOKUP(A310,'MTX CARAC'!$A$4:$W$131,14,0)</f>
        <v>44925</v>
      </c>
      <c r="C310" s="163"/>
      <c r="E310" s="17"/>
      <c r="F310" s="17"/>
      <c r="G310" s="17"/>
      <c r="H310" s="17"/>
      <c r="I310" s="17"/>
      <c r="J310" s="17"/>
      <c r="K310" s="17"/>
      <c r="L310" s="17"/>
      <c r="M310" s="17"/>
      <c r="N310" s="17"/>
      <c r="O310" s="17"/>
      <c r="P310" s="17"/>
      <c r="Q310" s="17"/>
      <c r="R310" s="17"/>
      <c r="S310" s="17"/>
      <c r="T310" s="17"/>
      <c r="U310" s="17"/>
      <c r="V310" s="17"/>
      <c r="W310" s="17"/>
      <c r="X310" s="17"/>
      <c r="Y310" s="17"/>
      <c r="Z310" s="17"/>
      <c r="AA310" s="17"/>
      <c r="AB310" s="17"/>
      <c r="AC310" s="17"/>
      <c r="AD310" s="17"/>
    </row>
    <row r="311" spans="1:30" s="161" customFormat="1" x14ac:dyDescent="0.35">
      <c r="A311" s="161" t="s">
        <v>137</v>
      </c>
      <c r="B311" s="163">
        <f>VLOOKUP(A311,'MTX CARAC'!$A$4:$W$131,14,0)</f>
        <v>44925</v>
      </c>
      <c r="C311" s="163"/>
      <c r="E311" s="17"/>
      <c r="F311" s="17"/>
      <c r="G311" s="17"/>
      <c r="H311" s="17"/>
      <c r="I311" s="17"/>
      <c r="J311" s="17"/>
      <c r="K311" s="17"/>
      <c r="L311" s="17"/>
      <c r="M311" s="17"/>
      <c r="N311" s="17"/>
      <c r="O311" s="17"/>
      <c r="P311" s="17"/>
      <c r="Q311" s="17"/>
      <c r="R311" s="17"/>
      <c r="S311" s="17"/>
      <c r="T311" s="17"/>
      <c r="U311" s="17"/>
      <c r="V311" s="17"/>
      <c r="W311" s="17"/>
      <c r="X311" s="17"/>
      <c r="Y311" s="17"/>
      <c r="Z311" s="17"/>
      <c r="AA311" s="17"/>
      <c r="AB311" s="17"/>
      <c r="AC311" s="17"/>
      <c r="AD311" s="17"/>
    </row>
    <row r="312" spans="1:30" s="161" customFormat="1" x14ac:dyDescent="0.35">
      <c r="A312" s="161" t="s">
        <v>138</v>
      </c>
      <c r="B312" s="163">
        <f>VLOOKUP(A312,'MTX CARAC'!$A$4:$W$131,14,0)</f>
        <v>44925</v>
      </c>
      <c r="C312" s="163"/>
      <c r="E312" s="17"/>
      <c r="F312" s="17"/>
      <c r="G312" s="17"/>
      <c r="H312" s="17"/>
      <c r="I312" s="17"/>
      <c r="J312" s="17"/>
      <c r="K312" s="17"/>
      <c r="L312" s="17"/>
      <c r="M312" s="17"/>
      <c r="N312" s="17"/>
      <c r="O312" s="17"/>
      <c r="P312" s="17"/>
      <c r="Q312" s="17"/>
      <c r="R312" s="17"/>
      <c r="S312" s="17"/>
      <c r="T312" s="17"/>
      <c r="U312" s="17"/>
      <c r="V312" s="17"/>
      <c r="W312" s="17"/>
      <c r="X312" s="17"/>
      <c r="Y312" s="17"/>
      <c r="Z312" s="17"/>
      <c r="AA312" s="17"/>
      <c r="AB312" s="17"/>
      <c r="AC312" s="17"/>
      <c r="AD312" s="17"/>
    </row>
    <row r="313" spans="1:30" s="161" customFormat="1" x14ac:dyDescent="0.35">
      <c r="A313" s="161" t="s">
        <v>95</v>
      </c>
      <c r="B313" s="163">
        <f>VLOOKUP(A313,'MTX CARAC'!$A$4:$W$131,14,0)</f>
        <v>44925</v>
      </c>
      <c r="C313" s="163"/>
      <c r="E313" s="17"/>
      <c r="F313" s="17"/>
      <c r="G313" s="17"/>
      <c r="H313" s="17"/>
      <c r="I313" s="17"/>
      <c r="J313" s="17"/>
      <c r="K313" s="17"/>
      <c r="L313" s="17"/>
      <c r="M313" s="17"/>
      <c r="N313" s="17"/>
      <c r="O313" s="17"/>
      <c r="P313" s="17"/>
      <c r="Q313" s="17"/>
      <c r="R313" s="17"/>
      <c r="S313" s="17"/>
      <c r="T313" s="17"/>
      <c r="U313" s="17"/>
      <c r="V313" s="17"/>
      <c r="W313" s="17"/>
      <c r="X313" s="17"/>
      <c r="Y313" s="17"/>
      <c r="Z313" s="17"/>
      <c r="AA313" s="17"/>
      <c r="AB313" s="17"/>
      <c r="AC313" s="17"/>
      <c r="AD313" s="17"/>
    </row>
    <row r="314" spans="1:30" s="161" customFormat="1" x14ac:dyDescent="0.35">
      <c r="A314" s="161" t="s">
        <v>96</v>
      </c>
      <c r="B314" s="163">
        <f>VLOOKUP(A314,'MTX CARAC'!$A$4:$W$131,14,0)</f>
        <v>44925</v>
      </c>
      <c r="C314" s="163"/>
      <c r="E314" s="17"/>
      <c r="F314" s="17"/>
      <c r="G314" s="17"/>
      <c r="H314" s="17"/>
      <c r="I314" s="17"/>
      <c r="J314" s="17"/>
      <c r="K314" s="17"/>
      <c r="L314" s="17"/>
      <c r="M314" s="17"/>
      <c r="N314" s="17"/>
      <c r="O314" s="17"/>
      <c r="P314" s="17"/>
      <c r="Q314" s="17"/>
      <c r="R314" s="17"/>
      <c r="S314" s="17"/>
      <c r="T314" s="17"/>
      <c r="U314" s="17"/>
      <c r="V314" s="17"/>
      <c r="W314" s="17"/>
      <c r="X314" s="17"/>
      <c r="Y314" s="17"/>
      <c r="Z314" s="17"/>
      <c r="AA314" s="17"/>
      <c r="AB314" s="17"/>
      <c r="AC314" s="17"/>
      <c r="AD314" s="17"/>
    </row>
    <row r="315" spans="1:30" s="161" customFormat="1" x14ac:dyDescent="0.35">
      <c r="A315" s="161" t="s">
        <v>99</v>
      </c>
      <c r="B315" s="163">
        <f>VLOOKUP(A315,'MTX CARAC'!$A$4:$W$131,14,0)</f>
        <v>44925</v>
      </c>
      <c r="C315" s="163"/>
      <c r="E315" s="17"/>
      <c r="F315" s="17"/>
      <c r="G315" s="17"/>
      <c r="H315" s="17"/>
      <c r="I315" s="17"/>
      <c r="J315" s="17"/>
      <c r="K315" s="17"/>
      <c r="L315" s="17"/>
      <c r="M315" s="17"/>
      <c r="N315" s="17"/>
      <c r="O315" s="17"/>
      <c r="P315" s="17"/>
      <c r="Q315" s="17"/>
      <c r="R315" s="17"/>
      <c r="S315" s="17"/>
      <c r="T315" s="17"/>
      <c r="U315" s="17"/>
      <c r="V315" s="17"/>
      <c r="W315" s="17"/>
      <c r="X315" s="17"/>
      <c r="Y315" s="17"/>
      <c r="Z315" s="17"/>
      <c r="AA315" s="17"/>
      <c r="AB315" s="17"/>
      <c r="AC315" s="17"/>
      <c r="AD315" s="17"/>
    </row>
    <row r="316" spans="1:30" s="161" customFormat="1" x14ac:dyDescent="0.35">
      <c r="A316" s="161" t="s">
        <v>100</v>
      </c>
      <c r="B316" s="163">
        <f>VLOOKUP(A316,'MTX CARAC'!$A$4:$W$131,14,0)</f>
        <v>44925</v>
      </c>
      <c r="C316" s="163"/>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row>
    <row r="317" spans="1:30" s="161" customFormat="1" x14ac:dyDescent="0.35">
      <c r="A317" s="161" t="s">
        <v>101</v>
      </c>
      <c r="B317" s="163">
        <f>VLOOKUP(A317,'MTX CARAC'!$A$4:$W$131,14,0)</f>
        <v>44925</v>
      </c>
      <c r="C317" s="163"/>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row>
    <row r="318" spans="1:30" s="161" customFormat="1" x14ac:dyDescent="0.35">
      <c r="A318" s="161" t="s">
        <v>97</v>
      </c>
      <c r="B318" s="163">
        <f>VLOOKUP(A318,'MTX CARAC'!$A$4:$W$131,14,0)</f>
        <v>44925</v>
      </c>
      <c r="C318" s="163"/>
      <c r="E318" s="17"/>
      <c r="F318" s="17"/>
      <c r="G318" s="17"/>
      <c r="H318" s="17"/>
      <c r="I318" s="17"/>
      <c r="J318" s="17"/>
      <c r="K318" s="17"/>
      <c r="L318" s="17"/>
      <c r="M318" s="17"/>
      <c r="N318" s="17"/>
      <c r="O318" s="17"/>
      <c r="P318" s="17"/>
      <c r="Q318" s="17"/>
      <c r="R318" s="17"/>
      <c r="S318" s="17"/>
      <c r="T318" s="17"/>
      <c r="U318" s="17"/>
      <c r="V318" s="17"/>
      <c r="W318" s="17"/>
      <c r="X318" s="17"/>
      <c r="Y318" s="17"/>
      <c r="Z318" s="17"/>
      <c r="AA318" s="17"/>
      <c r="AB318" s="17"/>
      <c r="AC318" s="17"/>
      <c r="AD318" s="17"/>
    </row>
    <row r="319" spans="1:30" s="161" customFormat="1" x14ac:dyDescent="0.35">
      <c r="A319" s="161" t="s">
        <v>98</v>
      </c>
      <c r="B319" s="163">
        <f>VLOOKUP(A319,'MTX CARAC'!$A$4:$W$131,14,0)</f>
        <v>44925</v>
      </c>
      <c r="C319" s="163"/>
      <c r="E319" s="17"/>
      <c r="F319" s="17"/>
      <c r="G319" s="17"/>
      <c r="H319" s="17"/>
      <c r="I319" s="17"/>
      <c r="J319" s="17"/>
      <c r="K319" s="17"/>
      <c r="L319" s="17"/>
      <c r="M319" s="17"/>
      <c r="N319" s="17"/>
      <c r="O319" s="17"/>
      <c r="P319" s="17"/>
      <c r="Q319" s="17"/>
      <c r="R319" s="17"/>
      <c r="S319" s="17"/>
      <c r="T319" s="17"/>
      <c r="U319" s="17"/>
      <c r="V319" s="17"/>
      <c r="W319" s="17"/>
      <c r="X319" s="17"/>
      <c r="Y319" s="17"/>
      <c r="Z319" s="17"/>
      <c r="AA319" s="17"/>
      <c r="AB319" s="17"/>
      <c r="AC319" s="17"/>
      <c r="AD319" s="17"/>
    </row>
    <row r="320" spans="1:30" s="161" customFormat="1" x14ac:dyDescent="0.35">
      <c r="A320" s="161" t="s">
        <v>103</v>
      </c>
      <c r="B320" s="163">
        <f>VLOOKUP(A320,'MTX CARAC'!$A$4:$W$131,14,0)</f>
        <v>44925</v>
      </c>
      <c r="C320" s="163"/>
      <c r="E320" s="17"/>
      <c r="F320" s="17"/>
      <c r="G320" s="17"/>
      <c r="H320" s="17"/>
      <c r="I320" s="17"/>
      <c r="J320" s="17"/>
      <c r="K320" s="17"/>
      <c r="L320" s="17"/>
      <c r="M320" s="17"/>
      <c r="N320" s="17"/>
      <c r="O320" s="17"/>
      <c r="P320" s="17"/>
      <c r="Q320" s="17"/>
      <c r="R320" s="17"/>
      <c r="S320" s="17"/>
      <c r="T320" s="17"/>
      <c r="U320" s="17"/>
      <c r="V320" s="17"/>
      <c r="W320" s="17"/>
      <c r="X320" s="17"/>
      <c r="Y320" s="17"/>
      <c r="Z320" s="17"/>
      <c r="AA320" s="17"/>
      <c r="AB320" s="17"/>
      <c r="AC320" s="17"/>
      <c r="AD320" s="17"/>
    </row>
    <row r="321" spans="1:30" s="161" customFormat="1" x14ac:dyDescent="0.35">
      <c r="A321" s="161" t="s">
        <v>104</v>
      </c>
      <c r="B321" s="163">
        <f>VLOOKUP(A321,'MTX CARAC'!$A$4:$W$131,14,0)</f>
        <v>44925</v>
      </c>
      <c r="C321" s="163"/>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row>
    <row r="322" spans="1:30" s="161" customFormat="1" x14ac:dyDescent="0.35">
      <c r="A322" s="161" t="s">
        <v>105</v>
      </c>
      <c r="B322" s="163">
        <f>VLOOKUP(A322,'MTX CARAC'!$A$4:$W$131,14,0)</f>
        <v>44925</v>
      </c>
      <c r="C322" s="163"/>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row>
    <row r="323" spans="1:30" s="161" customFormat="1" x14ac:dyDescent="0.35">
      <c r="A323" s="161" t="s">
        <v>102</v>
      </c>
      <c r="B323" s="163">
        <f>VLOOKUP(A323,'MTX CARAC'!$A$4:$W$131,14,0)</f>
        <v>44925</v>
      </c>
      <c r="C323" s="163"/>
      <c r="E323" s="17"/>
      <c r="F323" s="17"/>
      <c r="G323" s="17"/>
      <c r="H323" s="17"/>
      <c r="I323" s="17"/>
      <c r="J323" s="17"/>
      <c r="K323" s="17"/>
      <c r="L323" s="17"/>
      <c r="M323" s="17"/>
      <c r="N323" s="17"/>
      <c r="O323" s="17"/>
      <c r="P323" s="17"/>
      <c r="Q323" s="17"/>
      <c r="R323" s="17"/>
      <c r="S323" s="17"/>
      <c r="T323" s="17"/>
      <c r="U323" s="17"/>
      <c r="V323" s="17"/>
      <c r="W323" s="17"/>
      <c r="X323" s="17"/>
      <c r="Y323" s="17"/>
      <c r="Z323" s="17"/>
      <c r="AA323" s="17"/>
      <c r="AB323" s="17"/>
      <c r="AC323" s="17"/>
      <c r="AD323" s="17"/>
    </row>
    <row r="324" spans="1:30" s="161" customFormat="1" x14ac:dyDescent="0.35">
      <c r="A324" s="161" t="s">
        <v>15</v>
      </c>
      <c r="B324" s="163">
        <f>VLOOKUP(A324,'MTX CARAC'!$A$4:$W$131,14,0)</f>
        <v>44925</v>
      </c>
      <c r="C324" s="163"/>
      <c r="E324" s="17"/>
      <c r="F324" s="17"/>
      <c r="G324" s="17"/>
      <c r="H324" s="17"/>
      <c r="I324" s="17"/>
      <c r="J324" s="17"/>
      <c r="K324" s="17"/>
      <c r="L324" s="17"/>
      <c r="M324" s="17"/>
      <c r="N324" s="17"/>
      <c r="O324" s="17"/>
      <c r="P324" s="17"/>
      <c r="Q324" s="17"/>
      <c r="R324" s="17"/>
      <c r="S324" s="17"/>
      <c r="T324" s="17"/>
      <c r="U324" s="17"/>
      <c r="V324" s="17"/>
      <c r="W324" s="17"/>
      <c r="X324" s="17"/>
      <c r="Y324" s="17"/>
      <c r="Z324" s="17"/>
      <c r="AA324" s="17"/>
      <c r="AB324" s="17"/>
      <c r="AC324" s="17"/>
      <c r="AD324" s="17"/>
    </row>
    <row r="325" spans="1:30" s="161" customFormat="1" x14ac:dyDescent="0.35">
      <c r="A325" s="161" t="s">
        <v>141</v>
      </c>
      <c r="B325" s="163">
        <f>VLOOKUP(A325,'MTX CARAC'!$A$4:$W$131,14,0)</f>
        <v>44925</v>
      </c>
      <c r="C325" s="163"/>
      <c r="E325" s="17"/>
      <c r="F325" s="17"/>
      <c r="G325" s="17"/>
      <c r="H325" s="17"/>
      <c r="I325" s="17"/>
      <c r="J325" s="17"/>
      <c r="K325" s="17"/>
      <c r="L325" s="17"/>
      <c r="M325" s="17"/>
      <c r="N325" s="17"/>
      <c r="O325" s="17"/>
      <c r="P325" s="17"/>
      <c r="Q325" s="17"/>
      <c r="R325" s="17"/>
      <c r="S325" s="17"/>
      <c r="T325" s="17"/>
      <c r="U325" s="17"/>
      <c r="V325" s="17"/>
      <c r="W325" s="17"/>
      <c r="X325" s="17"/>
      <c r="Y325" s="17"/>
      <c r="Z325" s="17"/>
      <c r="AA325" s="17"/>
      <c r="AB325" s="17"/>
      <c r="AC325" s="17"/>
      <c r="AD325" s="17"/>
    </row>
    <row r="326" spans="1:30" s="161" customFormat="1" x14ac:dyDescent="0.35">
      <c r="A326" s="161" t="s">
        <v>132</v>
      </c>
      <c r="B326" s="163">
        <f>VLOOKUP(A326,'MTX CARAC'!$A$4:$W$131,14,0)</f>
        <v>44925</v>
      </c>
      <c r="C326" s="163"/>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row>
    <row r="327" spans="1:30" s="161" customFormat="1" x14ac:dyDescent="0.35">
      <c r="A327" s="161" t="s">
        <v>143</v>
      </c>
      <c r="B327" s="163">
        <f>VLOOKUP(A327,'MTX CARAC'!$A$4:$W$131,14,0)</f>
        <v>44925</v>
      </c>
      <c r="C327" s="163"/>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row>
    <row r="328" spans="1:30" s="161" customFormat="1" x14ac:dyDescent="0.35">
      <c r="A328" s="161" t="s">
        <v>144</v>
      </c>
      <c r="B328" s="163">
        <f>VLOOKUP(A328,'MTX CARAC'!$A$4:$W$131,14,0)</f>
        <v>44925</v>
      </c>
      <c r="C328" s="163"/>
      <c r="E328" s="17"/>
      <c r="F328" s="17"/>
      <c r="G328" s="17"/>
      <c r="H328" s="17"/>
      <c r="I328" s="17"/>
      <c r="J328" s="17"/>
      <c r="K328" s="17"/>
      <c r="L328" s="17"/>
      <c r="M328" s="17"/>
      <c r="N328" s="17"/>
      <c r="O328" s="17"/>
      <c r="P328" s="17"/>
      <c r="Q328" s="17"/>
      <c r="R328" s="17"/>
      <c r="S328" s="17"/>
      <c r="T328" s="17"/>
      <c r="U328" s="17"/>
      <c r="V328" s="17"/>
      <c r="W328" s="17"/>
      <c r="X328" s="17"/>
      <c r="Y328" s="17"/>
      <c r="Z328" s="17"/>
      <c r="AA328" s="17"/>
      <c r="AB328" s="17"/>
      <c r="AC328" s="17"/>
      <c r="AD328" s="17"/>
    </row>
    <row r="329" spans="1:30" s="161" customFormat="1" x14ac:dyDescent="0.35">
      <c r="A329" s="161" t="s">
        <v>142</v>
      </c>
      <c r="B329" s="163">
        <f>VLOOKUP(A329,'MTX CARAC'!$A$4:$W$131,14,0)</f>
        <v>44925</v>
      </c>
      <c r="C329" s="163"/>
      <c r="E329" s="17"/>
      <c r="F329" s="17"/>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row>
    <row r="330" spans="1:30" s="161" customFormat="1" x14ac:dyDescent="0.35">
      <c r="A330" s="161" t="s">
        <v>145</v>
      </c>
      <c r="B330" s="163">
        <f>VLOOKUP(A330,'MTX CARAC'!$A$4:$W$131,14,0)</f>
        <v>44925</v>
      </c>
      <c r="C330" s="163"/>
      <c r="E330" s="17"/>
      <c r="F330" s="17"/>
      <c r="G330" s="17"/>
      <c r="H330" s="17"/>
      <c r="I330" s="17"/>
      <c r="J330" s="17"/>
      <c r="K330" s="17"/>
      <c r="L330" s="17"/>
      <c r="M330" s="17"/>
      <c r="N330" s="17"/>
      <c r="O330" s="17"/>
      <c r="P330" s="17"/>
      <c r="Q330" s="17"/>
      <c r="R330" s="17"/>
      <c r="S330" s="17"/>
      <c r="T330" s="17"/>
      <c r="U330" s="17"/>
      <c r="V330" s="17"/>
      <c r="W330" s="17"/>
      <c r="X330" s="17"/>
      <c r="Y330" s="17"/>
      <c r="Z330" s="17"/>
      <c r="AA330" s="17"/>
      <c r="AB330" s="17"/>
      <c r="AC330" s="17"/>
      <c r="AD330" s="17"/>
    </row>
    <row r="331" spans="1:30" s="161" customFormat="1" x14ac:dyDescent="0.35">
      <c r="A331" s="161" t="s">
        <v>3</v>
      </c>
      <c r="B331" s="163">
        <f>VLOOKUP(A331,'MTX CARAC'!$A$4:$W$131,14,0)</f>
        <v>44925</v>
      </c>
      <c r="C331" s="163"/>
      <c r="E331" s="17"/>
      <c r="F331" s="17"/>
      <c r="G331" s="17"/>
      <c r="H331" s="17"/>
      <c r="I331" s="17"/>
      <c r="J331" s="17"/>
      <c r="K331" s="17"/>
      <c r="L331" s="17"/>
      <c r="M331" s="17"/>
      <c r="N331" s="17"/>
      <c r="O331" s="17"/>
      <c r="P331" s="17"/>
      <c r="Q331" s="17"/>
      <c r="R331" s="17"/>
      <c r="S331" s="17"/>
      <c r="T331" s="17"/>
      <c r="U331" s="17"/>
      <c r="V331" s="17"/>
      <c r="W331" s="17"/>
      <c r="X331" s="17"/>
      <c r="Y331" s="17"/>
      <c r="Z331" s="17"/>
      <c r="AA331" s="17"/>
      <c r="AB331" s="17"/>
      <c r="AC331" s="17"/>
      <c r="AD331" s="17"/>
    </row>
    <row r="332" spans="1:30" s="161" customFormat="1" x14ac:dyDescent="0.35">
      <c r="A332" s="161" t="s">
        <v>194</v>
      </c>
      <c r="B332" s="163">
        <f>VLOOKUP(A332,'MTX CARAC'!$A$4:$W$131,14,0)</f>
        <v>44925</v>
      </c>
      <c r="C332" s="163"/>
      <c r="E332" s="17"/>
      <c r="F332" s="17"/>
      <c r="G332" s="17"/>
      <c r="H332" s="17"/>
      <c r="I332" s="17"/>
      <c r="J332" s="17"/>
      <c r="K332" s="17"/>
      <c r="L332" s="17"/>
      <c r="M332" s="17"/>
      <c r="N332" s="17"/>
      <c r="O332" s="17"/>
      <c r="P332" s="17"/>
      <c r="Q332" s="17"/>
      <c r="R332" s="17"/>
      <c r="S332" s="17"/>
      <c r="T332" s="17"/>
      <c r="U332" s="17"/>
      <c r="V332" s="17"/>
      <c r="W332" s="17"/>
      <c r="X332" s="17"/>
      <c r="Y332" s="17"/>
      <c r="Z332" s="17"/>
      <c r="AA332" s="17"/>
      <c r="AB332" s="17"/>
      <c r="AC332" s="17"/>
      <c r="AD332" s="17"/>
    </row>
    <row r="333" spans="1:30" s="161" customFormat="1" x14ac:dyDescent="0.35">
      <c r="A333" s="161" t="s">
        <v>4</v>
      </c>
      <c r="B333" s="163">
        <f>VLOOKUP(A333,'MTX CARAC'!$A$4:$W$131,14,0)</f>
        <v>44925</v>
      </c>
      <c r="C333" s="163"/>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row>
    <row r="334" spans="1:30" s="161" customFormat="1" x14ac:dyDescent="0.35">
      <c r="A334" s="161" t="s">
        <v>153</v>
      </c>
      <c r="B334" s="163">
        <f>VLOOKUP(A334,'MTX CARAC'!$A$4:$W$131,14,0)</f>
        <v>44925</v>
      </c>
      <c r="C334" s="163"/>
      <c r="E334" s="17"/>
      <c r="F334" s="17"/>
      <c r="G334" s="17"/>
      <c r="H334" s="17"/>
      <c r="I334" s="17"/>
      <c r="J334" s="17"/>
      <c r="K334" s="17"/>
      <c r="L334" s="17"/>
      <c r="M334" s="17"/>
      <c r="N334" s="17"/>
      <c r="O334" s="17"/>
      <c r="P334" s="17"/>
      <c r="Q334" s="17"/>
      <c r="R334" s="17"/>
      <c r="S334" s="17"/>
      <c r="T334" s="17"/>
      <c r="U334" s="17"/>
      <c r="V334" s="17"/>
      <c r="W334" s="17"/>
      <c r="X334" s="17"/>
      <c r="Y334" s="17"/>
      <c r="Z334" s="17"/>
      <c r="AA334" s="17"/>
      <c r="AB334" s="17"/>
      <c r="AC334" s="17"/>
      <c r="AD334" s="17"/>
    </row>
    <row r="335" spans="1:30" s="161" customFormat="1" x14ac:dyDescent="0.35">
      <c r="A335" s="161" t="s">
        <v>154</v>
      </c>
      <c r="B335" s="163">
        <f>VLOOKUP(A335,'MTX CARAC'!$A$4:$W$131,14,0)</f>
        <v>44925</v>
      </c>
      <c r="C335" s="163"/>
      <c r="E335" s="17"/>
      <c r="F335" s="17"/>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row>
    <row r="336" spans="1:30" s="161" customFormat="1" x14ac:dyDescent="0.35">
      <c r="A336" s="161" t="s">
        <v>5</v>
      </c>
      <c r="B336" s="163">
        <f>VLOOKUP(A336,'MTX CARAC'!$A$4:$W$131,14,0)</f>
        <v>44925</v>
      </c>
      <c r="C336" s="163"/>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row>
    <row r="337" spans="1:30" s="161" customFormat="1" x14ac:dyDescent="0.35">
      <c r="A337" s="161" t="s">
        <v>195</v>
      </c>
      <c r="B337" s="163">
        <f>VLOOKUP(A337,'MTX CARAC'!$A$4:$W$131,14,0)</f>
        <v>44925</v>
      </c>
      <c r="C337" s="163"/>
      <c r="E337" s="17"/>
      <c r="F337" s="17"/>
      <c r="G337" s="17"/>
      <c r="H337" s="17"/>
      <c r="I337" s="17"/>
      <c r="J337" s="17"/>
      <c r="K337" s="17"/>
      <c r="L337" s="17"/>
      <c r="M337" s="17"/>
      <c r="N337" s="17"/>
      <c r="O337" s="17"/>
      <c r="P337" s="17"/>
      <c r="Q337" s="17"/>
      <c r="R337" s="17"/>
      <c r="S337" s="17"/>
      <c r="T337" s="17"/>
      <c r="U337" s="17"/>
      <c r="V337" s="17"/>
      <c r="W337" s="17"/>
      <c r="X337" s="17"/>
      <c r="Y337" s="17"/>
      <c r="Z337" s="17"/>
      <c r="AA337" s="17"/>
      <c r="AB337" s="17"/>
      <c r="AC337" s="17"/>
      <c r="AD337" s="17"/>
    </row>
    <row r="338" spans="1:30" s="161" customFormat="1" x14ac:dyDescent="0.35">
      <c r="A338" s="161" t="s">
        <v>155</v>
      </c>
      <c r="B338" s="163">
        <f>VLOOKUP(A338,'MTX CARAC'!$A$4:$W$131,14,0)</f>
        <v>44925</v>
      </c>
      <c r="C338" s="163"/>
      <c r="E338" s="17"/>
      <c r="F338" s="17"/>
      <c r="G338" s="17"/>
      <c r="H338" s="17"/>
      <c r="I338" s="17"/>
      <c r="J338" s="17"/>
      <c r="K338" s="17"/>
      <c r="L338" s="17"/>
      <c r="M338" s="17"/>
      <c r="N338" s="17"/>
      <c r="O338" s="17"/>
      <c r="P338" s="17"/>
      <c r="Q338" s="17"/>
      <c r="R338" s="17"/>
      <c r="S338" s="17"/>
      <c r="T338" s="17"/>
      <c r="U338" s="17"/>
      <c r="V338" s="17"/>
      <c r="W338" s="17"/>
      <c r="X338" s="17"/>
      <c r="Y338" s="17"/>
      <c r="Z338" s="17"/>
      <c r="AA338" s="17"/>
      <c r="AB338" s="17"/>
      <c r="AC338" s="17"/>
      <c r="AD338" s="17"/>
    </row>
    <row r="339" spans="1:30" s="161" customFormat="1" x14ac:dyDescent="0.35">
      <c r="A339" s="161" t="s">
        <v>6</v>
      </c>
      <c r="B339" s="163">
        <f>VLOOKUP(A339,'MTX CARAC'!$A$4:$W$131,14,0)</f>
        <v>44925</v>
      </c>
      <c r="C339" s="163"/>
      <c r="E339" s="17"/>
      <c r="F339" s="17"/>
      <c r="G339" s="17"/>
      <c r="H339" s="17"/>
      <c r="I339" s="17"/>
      <c r="J339" s="17"/>
      <c r="K339" s="17"/>
      <c r="L339" s="17"/>
      <c r="M339" s="17"/>
      <c r="N339" s="17"/>
      <c r="O339" s="17"/>
      <c r="P339" s="17"/>
      <c r="Q339" s="17"/>
      <c r="R339" s="17"/>
      <c r="S339" s="17"/>
      <c r="T339" s="17"/>
      <c r="U339" s="17"/>
      <c r="V339" s="17"/>
      <c r="W339" s="17"/>
      <c r="X339" s="17"/>
      <c r="Y339" s="17"/>
      <c r="Z339" s="17"/>
      <c r="AA339" s="17"/>
      <c r="AB339" s="17"/>
      <c r="AC339" s="17"/>
      <c r="AD339" s="17"/>
    </row>
    <row r="340" spans="1:30" s="161" customFormat="1" x14ac:dyDescent="0.35">
      <c r="A340" s="161" t="s">
        <v>7</v>
      </c>
      <c r="B340" s="163">
        <f>VLOOKUP(A340,'MTX CARAC'!$A$4:$W$131,14,0)</f>
        <v>44925</v>
      </c>
      <c r="C340" s="163"/>
      <c r="E340" s="17"/>
      <c r="F340" s="17"/>
      <c r="G340" s="17"/>
      <c r="H340" s="17"/>
      <c r="I340" s="17"/>
      <c r="J340" s="17"/>
      <c r="K340" s="17"/>
      <c r="L340" s="17"/>
      <c r="M340" s="17"/>
      <c r="N340" s="17"/>
      <c r="O340" s="17"/>
      <c r="P340" s="17"/>
      <c r="Q340" s="17"/>
      <c r="R340" s="17"/>
      <c r="S340" s="17"/>
      <c r="T340" s="17"/>
      <c r="U340" s="17"/>
      <c r="V340" s="17"/>
      <c r="W340" s="17"/>
      <c r="X340" s="17"/>
      <c r="Y340" s="17"/>
      <c r="Z340" s="17"/>
      <c r="AA340" s="17"/>
      <c r="AB340" s="17"/>
      <c r="AC340" s="17"/>
      <c r="AD340" s="17"/>
    </row>
    <row r="341" spans="1:30" s="161" customFormat="1" x14ac:dyDescent="0.35">
      <c r="A341" s="161" t="s">
        <v>8</v>
      </c>
      <c r="B341" s="163">
        <f>VLOOKUP(A341,'MTX CARAC'!$A$4:$W$131,14,0)</f>
        <v>44925</v>
      </c>
      <c r="C341" s="163"/>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row>
    <row r="342" spans="1:30" s="161" customFormat="1" x14ac:dyDescent="0.35">
      <c r="A342" s="161" t="s">
        <v>9</v>
      </c>
      <c r="B342" s="163">
        <f>VLOOKUP(A342,'MTX CARAC'!$A$4:$W$131,14,0)</f>
        <v>44925</v>
      </c>
      <c r="C342" s="163"/>
      <c r="E342" s="17"/>
      <c r="F342" s="17"/>
      <c r="G342" s="17"/>
      <c r="H342" s="17"/>
      <c r="I342" s="17"/>
      <c r="J342" s="17"/>
      <c r="K342" s="17"/>
      <c r="L342" s="17"/>
      <c r="M342" s="17"/>
      <c r="N342" s="17"/>
      <c r="O342" s="17"/>
      <c r="P342" s="17"/>
      <c r="Q342" s="17"/>
      <c r="R342" s="17"/>
      <c r="S342" s="17"/>
      <c r="T342" s="17"/>
      <c r="U342" s="17"/>
      <c r="V342" s="17"/>
      <c r="W342" s="17"/>
      <c r="X342" s="17"/>
      <c r="Y342" s="17"/>
      <c r="Z342" s="17"/>
      <c r="AA342" s="17"/>
      <c r="AB342" s="17"/>
      <c r="AC342" s="17"/>
      <c r="AD342" s="17"/>
    </row>
    <row r="343" spans="1:30" s="161" customFormat="1" x14ac:dyDescent="0.35">
      <c r="A343" s="161" t="s">
        <v>156</v>
      </c>
      <c r="B343" s="163">
        <f>VLOOKUP(A343,'MTX CARAC'!$A$4:$W$131,14,0)</f>
        <v>44925</v>
      </c>
      <c r="C343" s="163"/>
      <c r="E343" s="17"/>
      <c r="F343" s="17"/>
      <c r="G343" s="17"/>
      <c r="H343" s="17"/>
      <c r="I343" s="17"/>
      <c r="J343" s="17"/>
      <c r="K343" s="17"/>
      <c r="L343" s="17"/>
      <c r="M343" s="17"/>
      <c r="N343" s="17"/>
      <c r="O343" s="17"/>
      <c r="P343" s="17"/>
      <c r="Q343" s="17"/>
      <c r="R343" s="17"/>
      <c r="S343" s="17"/>
      <c r="T343" s="17"/>
      <c r="U343" s="17"/>
      <c r="V343" s="17"/>
      <c r="W343" s="17"/>
      <c r="X343" s="17"/>
      <c r="Y343" s="17"/>
      <c r="Z343" s="17"/>
      <c r="AA343" s="17"/>
      <c r="AB343" s="17"/>
      <c r="AC343" s="17"/>
      <c r="AD343" s="17"/>
    </row>
    <row r="344" spans="1:30" s="161" customFormat="1" x14ac:dyDescent="0.35">
      <c r="A344" s="161" t="s">
        <v>157</v>
      </c>
      <c r="B344" s="163">
        <f>VLOOKUP(A344,'MTX CARAC'!$A$4:$W$131,14,0)</f>
        <v>44925</v>
      </c>
      <c r="C344" s="163"/>
      <c r="E344" s="17"/>
      <c r="F344" s="17"/>
      <c r="G344" s="17"/>
      <c r="H344" s="17"/>
      <c r="I344" s="17"/>
      <c r="J344" s="17"/>
      <c r="K344" s="17"/>
      <c r="L344" s="17"/>
      <c r="M344" s="17"/>
      <c r="N344" s="17"/>
      <c r="O344" s="17"/>
      <c r="P344" s="17"/>
      <c r="Q344" s="17"/>
      <c r="R344" s="17"/>
      <c r="S344" s="17"/>
      <c r="T344" s="17"/>
      <c r="U344" s="17"/>
      <c r="V344" s="17"/>
      <c r="W344" s="17"/>
      <c r="X344" s="17"/>
      <c r="Y344" s="17"/>
      <c r="Z344" s="17"/>
      <c r="AA344" s="17"/>
      <c r="AB344" s="17"/>
      <c r="AC344" s="17"/>
      <c r="AD344" s="17"/>
    </row>
    <row r="345" spans="1:30" s="161" customFormat="1" x14ac:dyDescent="0.35">
      <c r="A345" s="161" t="s">
        <v>10</v>
      </c>
      <c r="B345" s="163">
        <f>VLOOKUP(A345,'MTX CARAC'!$A$4:$W$131,14,0)</f>
        <v>44925</v>
      </c>
      <c r="C345" s="163"/>
      <c r="E345" s="17"/>
      <c r="F345" s="17"/>
      <c r="G345" s="17"/>
      <c r="H345" s="17"/>
      <c r="I345" s="17"/>
      <c r="J345" s="17"/>
      <c r="K345" s="17"/>
      <c r="L345" s="17"/>
      <c r="M345" s="17"/>
      <c r="N345" s="17"/>
      <c r="O345" s="17"/>
      <c r="P345" s="17"/>
      <c r="Q345" s="17"/>
      <c r="R345" s="17"/>
      <c r="S345" s="17"/>
      <c r="T345" s="17"/>
      <c r="U345" s="17"/>
      <c r="V345" s="17"/>
      <c r="W345" s="17"/>
      <c r="X345" s="17"/>
      <c r="Y345" s="17"/>
      <c r="Z345" s="17"/>
      <c r="AA345" s="17"/>
      <c r="AB345" s="17"/>
      <c r="AC345" s="17"/>
      <c r="AD345" s="17"/>
    </row>
    <row r="346" spans="1:30" s="161" customFormat="1" x14ac:dyDescent="0.35">
      <c r="A346" s="161" t="s">
        <v>11</v>
      </c>
      <c r="B346" s="163">
        <f>VLOOKUP(A346,'MTX CARAC'!$A$4:$W$131,14,0)</f>
        <v>44925</v>
      </c>
      <c r="C346" s="163"/>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row>
    <row r="347" spans="1:30" s="161" customFormat="1" x14ac:dyDescent="0.35">
      <c r="A347" s="161" t="s">
        <v>158</v>
      </c>
      <c r="B347" s="163">
        <f>VLOOKUP(A347,'MTX CARAC'!$A$4:$W$131,14,0)</f>
        <v>44925</v>
      </c>
      <c r="C347" s="163"/>
      <c r="E347" s="17"/>
      <c r="F347" s="17"/>
      <c r="G347" s="17"/>
      <c r="H347" s="17"/>
      <c r="I347" s="17"/>
      <c r="J347" s="17"/>
      <c r="K347" s="17"/>
      <c r="L347" s="17"/>
      <c r="M347" s="17"/>
      <c r="N347" s="17"/>
      <c r="O347" s="17"/>
      <c r="P347" s="17"/>
      <c r="Q347" s="17"/>
      <c r="R347" s="17"/>
      <c r="S347" s="17"/>
      <c r="T347" s="17"/>
      <c r="U347" s="17"/>
      <c r="V347" s="17"/>
      <c r="W347" s="17"/>
      <c r="X347" s="17"/>
      <c r="Y347" s="17"/>
      <c r="Z347" s="17"/>
      <c r="AA347" s="17"/>
      <c r="AB347" s="17"/>
      <c r="AC347" s="17"/>
      <c r="AD347" s="17"/>
    </row>
    <row r="348" spans="1:30" s="161" customFormat="1" x14ac:dyDescent="0.35">
      <c r="A348" s="161" t="s">
        <v>12</v>
      </c>
      <c r="B348" s="163">
        <f>VLOOKUP(A348,'MTX CARAC'!$A$4:$W$131,14,0)</f>
        <v>44925</v>
      </c>
      <c r="C348" s="163"/>
      <c r="E348" s="17"/>
      <c r="F348" s="17"/>
      <c r="G348" s="17"/>
      <c r="H348" s="17"/>
      <c r="I348" s="17"/>
      <c r="J348" s="17"/>
      <c r="K348" s="17"/>
      <c r="L348" s="17"/>
      <c r="M348" s="17"/>
      <c r="N348" s="17"/>
      <c r="O348" s="17"/>
      <c r="P348" s="17"/>
      <c r="Q348" s="17"/>
      <c r="R348" s="17"/>
      <c r="S348" s="17"/>
      <c r="T348" s="17"/>
      <c r="U348" s="17"/>
      <c r="V348" s="17"/>
      <c r="W348" s="17"/>
      <c r="X348" s="17"/>
      <c r="Y348" s="17"/>
      <c r="Z348" s="17"/>
      <c r="AA348" s="17"/>
      <c r="AB348" s="17"/>
      <c r="AC348" s="17"/>
      <c r="AD348" s="17"/>
    </row>
    <row r="349" spans="1:30" s="161" customFormat="1" x14ac:dyDescent="0.35">
      <c r="A349" s="161" t="s">
        <v>13</v>
      </c>
      <c r="B349" s="163">
        <f>VLOOKUP(A349,'MTX CARAC'!$A$4:$W$131,14,0)</f>
        <v>44925</v>
      </c>
      <c r="C349" s="163"/>
      <c r="E349" s="17"/>
      <c r="F349" s="17"/>
      <c r="G349" s="17"/>
      <c r="H349" s="17"/>
      <c r="I349" s="17"/>
      <c r="J349" s="17"/>
      <c r="K349" s="17"/>
      <c r="L349" s="17"/>
      <c r="M349" s="17"/>
      <c r="N349" s="17"/>
      <c r="O349" s="17"/>
      <c r="P349" s="17"/>
      <c r="Q349" s="17"/>
      <c r="R349" s="17"/>
      <c r="S349" s="17"/>
      <c r="T349" s="17"/>
      <c r="U349" s="17"/>
      <c r="V349" s="17"/>
      <c r="W349" s="17"/>
      <c r="X349" s="17"/>
      <c r="Y349" s="17"/>
      <c r="Z349" s="17"/>
      <c r="AA349" s="17"/>
      <c r="AB349" s="17"/>
      <c r="AC349" s="17"/>
      <c r="AD349" s="17"/>
    </row>
    <row r="350" spans="1:30" s="161" customFormat="1" x14ac:dyDescent="0.35">
      <c r="A350" s="161" t="s">
        <v>161</v>
      </c>
      <c r="B350" s="163">
        <f>VLOOKUP(A350,'MTX CARAC'!$A$4:$W$131,14,0)</f>
        <v>44925</v>
      </c>
      <c r="C350" s="163"/>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row>
    <row r="351" spans="1:30" s="161" customFormat="1" x14ac:dyDescent="0.35">
      <c r="A351" s="161" t="s">
        <v>160</v>
      </c>
      <c r="B351" s="163">
        <f>VLOOKUP(A351,'MTX CARAC'!$A$4:$W$131,14,0)</f>
        <v>44925</v>
      </c>
      <c r="C351" s="163"/>
      <c r="E351" s="17"/>
      <c r="F351" s="17"/>
      <c r="G351" s="17"/>
      <c r="H351" s="17"/>
      <c r="I351" s="17"/>
      <c r="J351" s="17"/>
      <c r="K351" s="17"/>
      <c r="L351" s="17"/>
      <c r="M351" s="17"/>
      <c r="N351" s="17"/>
      <c r="O351" s="17"/>
      <c r="P351" s="17"/>
      <c r="Q351" s="17"/>
      <c r="R351" s="17"/>
      <c r="S351" s="17"/>
      <c r="T351" s="17"/>
      <c r="U351" s="17"/>
      <c r="V351" s="17"/>
      <c r="W351" s="17"/>
      <c r="X351" s="17"/>
      <c r="Y351" s="17"/>
      <c r="Z351" s="17"/>
      <c r="AA351" s="17"/>
      <c r="AB351" s="17"/>
      <c r="AC351" s="17"/>
      <c r="AD351" s="17"/>
    </row>
    <row r="352" spans="1:30" s="161" customFormat="1" x14ac:dyDescent="0.35">
      <c r="A352" s="161" t="s">
        <v>14</v>
      </c>
      <c r="B352" s="163">
        <f>VLOOKUP(A352,'MTX CARAC'!$A$4:$W$131,14,0)</f>
        <v>44925</v>
      </c>
      <c r="C352" s="163"/>
      <c r="E352" s="17"/>
      <c r="F352" s="17"/>
      <c r="G352" s="17"/>
      <c r="H352" s="17"/>
      <c r="I352" s="17"/>
      <c r="J352" s="17"/>
      <c r="K352" s="17"/>
      <c r="L352" s="17"/>
      <c r="M352" s="17"/>
      <c r="N352" s="17"/>
      <c r="O352" s="17"/>
      <c r="P352" s="17"/>
      <c r="Q352" s="17"/>
      <c r="R352" s="17"/>
      <c r="S352" s="17"/>
      <c r="T352" s="17"/>
      <c r="U352" s="17"/>
      <c r="V352" s="17"/>
      <c r="W352" s="17"/>
      <c r="X352" s="17"/>
      <c r="Y352" s="17"/>
      <c r="Z352" s="17"/>
      <c r="AA352" s="17"/>
      <c r="AB352" s="17"/>
      <c r="AC352" s="17"/>
      <c r="AD352" s="17"/>
    </row>
    <row r="353" spans="1:30" s="161" customFormat="1" x14ac:dyDescent="0.35">
      <c r="A353" s="161" t="s">
        <v>159</v>
      </c>
      <c r="B353" s="163">
        <f>VLOOKUP(A353,'MTX CARAC'!$A$4:$W$131,14,0)</f>
        <v>44925</v>
      </c>
      <c r="C353" s="163"/>
      <c r="E353" s="17"/>
      <c r="F353" s="17"/>
      <c r="G353" s="17"/>
      <c r="H353" s="17"/>
      <c r="I353" s="17"/>
      <c r="J353" s="17"/>
      <c r="K353" s="17"/>
      <c r="L353" s="17"/>
      <c r="M353" s="17"/>
      <c r="N353" s="17"/>
      <c r="O353" s="17"/>
      <c r="P353" s="17"/>
      <c r="Q353" s="17"/>
      <c r="R353" s="17"/>
      <c r="S353" s="17"/>
      <c r="T353" s="17"/>
      <c r="U353" s="17"/>
      <c r="V353" s="17"/>
      <c r="W353" s="17"/>
      <c r="X353" s="17"/>
      <c r="Y353" s="17"/>
      <c r="Z353" s="17"/>
      <c r="AA353" s="17"/>
      <c r="AB353" s="17"/>
      <c r="AC353" s="17"/>
      <c r="AD353" s="17"/>
    </row>
    <row r="354" spans="1:30" s="161" customFormat="1" x14ac:dyDescent="0.35">
      <c r="A354" s="161" t="s">
        <v>214</v>
      </c>
      <c r="B354" s="163">
        <f>VLOOKUP(A354,'MTX CARAC'!$A$4:$W$131,14,0)</f>
        <v>44925</v>
      </c>
      <c r="C354" s="163"/>
      <c r="E354" s="17"/>
      <c r="F354" s="17"/>
      <c r="G354" s="17"/>
      <c r="H354" s="17"/>
      <c r="I354" s="17"/>
      <c r="J354" s="17"/>
      <c r="K354" s="17"/>
      <c r="L354" s="17"/>
      <c r="M354" s="17"/>
      <c r="N354" s="17"/>
      <c r="O354" s="17"/>
      <c r="P354" s="17"/>
      <c r="Q354" s="17"/>
      <c r="R354" s="17"/>
      <c r="S354" s="17"/>
      <c r="T354" s="17"/>
      <c r="U354" s="17"/>
      <c r="V354" s="17"/>
      <c r="W354" s="17"/>
      <c r="X354" s="17"/>
      <c r="Y354" s="17"/>
      <c r="Z354" s="17"/>
      <c r="AA354" s="17"/>
      <c r="AB354" s="17"/>
      <c r="AC354" s="17"/>
      <c r="AD354" s="17"/>
    </row>
    <row r="355" spans="1:30" s="161" customFormat="1" x14ac:dyDescent="0.35">
      <c r="A355" s="161" t="s">
        <v>215</v>
      </c>
      <c r="B355" s="163">
        <f>VLOOKUP(A355,'MTX CARAC'!$A$4:$W$131,14,0)</f>
        <v>44925</v>
      </c>
      <c r="C355" s="163"/>
      <c r="E355" s="17"/>
      <c r="F355" s="17"/>
      <c r="G355" s="17"/>
      <c r="H355" s="17"/>
      <c r="I355" s="17"/>
      <c r="J355" s="17"/>
      <c r="K355" s="17"/>
      <c r="L355" s="17"/>
      <c r="M355" s="17"/>
      <c r="N355" s="17"/>
      <c r="O355" s="17"/>
      <c r="P355" s="17"/>
      <c r="Q355" s="17"/>
      <c r="R355" s="17"/>
      <c r="S355" s="17"/>
      <c r="T355" s="17"/>
      <c r="U355" s="17"/>
      <c r="V355" s="17"/>
      <c r="W355" s="17"/>
      <c r="X355" s="17"/>
      <c r="Y355" s="17"/>
      <c r="Z355" s="17"/>
      <c r="AA355" s="17"/>
      <c r="AB355" s="17"/>
      <c r="AC355" s="17"/>
      <c r="AD355" s="17"/>
    </row>
    <row r="356" spans="1:30" s="161" customFormat="1" x14ac:dyDescent="0.35">
      <c r="A356" s="161" t="s">
        <v>216</v>
      </c>
      <c r="B356" s="163">
        <f>VLOOKUP(A356,'MTX CARAC'!$A$4:$W$131,14,0)</f>
        <v>44925</v>
      </c>
      <c r="C356" s="163"/>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row>
    <row r="357" spans="1:30" s="161" customFormat="1" x14ac:dyDescent="0.35">
      <c r="A357" s="161" t="s">
        <v>217</v>
      </c>
      <c r="B357" s="163">
        <f>VLOOKUP(A357,'MTX CARAC'!$A$4:$W$131,14,0)</f>
        <v>44925</v>
      </c>
      <c r="C357" s="163"/>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row>
    <row r="358" spans="1:30" s="161" customFormat="1" x14ac:dyDescent="0.35">
      <c r="A358" s="161" t="s">
        <v>218</v>
      </c>
      <c r="B358" s="163">
        <f>VLOOKUP(A358,'MTX CARAC'!$A$4:$W$131,14,0)</f>
        <v>44925</v>
      </c>
      <c r="C358" s="163"/>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row>
    <row r="359" spans="1:30" s="161" customFormat="1" x14ac:dyDescent="0.35">
      <c r="A359" s="161" t="s">
        <v>219</v>
      </c>
      <c r="B359" s="163">
        <f>VLOOKUP(A359,'MTX CARAC'!$A$4:$W$131,14,0)</f>
        <v>44925</v>
      </c>
      <c r="C359" s="163"/>
      <c r="E359" s="17"/>
      <c r="F359" s="17"/>
      <c r="G359" s="17"/>
      <c r="H359" s="17"/>
      <c r="I359" s="17"/>
      <c r="J359" s="17"/>
      <c r="K359" s="17"/>
      <c r="L359" s="17"/>
      <c r="M359" s="17"/>
      <c r="N359" s="17"/>
      <c r="O359" s="17"/>
      <c r="P359" s="17"/>
      <c r="Q359" s="17"/>
      <c r="R359" s="17"/>
      <c r="S359" s="17"/>
      <c r="T359" s="17"/>
      <c r="U359" s="17"/>
      <c r="V359" s="17"/>
      <c r="W359" s="17"/>
      <c r="X359" s="17"/>
      <c r="Y359" s="17"/>
      <c r="Z359" s="17"/>
      <c r="AA359" s="17"/>
      <c r="AB359" s="17"/>
      <c r="AC359" s="17"/>
      <c r="AD359" s="17"/>
    </row>
    <row r="360" spans="1:30" s="161" customFormat="1" x14ac:dyDescent="0.35">
      <c r="A360" s="161" t="s">
        <v>220</v>
      </c>
      <c r="B360" s="163">
        <f>VLOOKUP(A360,'MTX CARAC'!$A$4:$W$131,14,0)</f>
        <v>44925</v>
      </c>
      <c r="C360" s="163"/>
      <c r="E360" s="17"/>
      <c r="F360" s="17"/>
      <c r="G360" s="17"/>
      <c r="H360" s="17"/>
      <c r="I360" s="17"/>
      <c r="J360" s="17"/>
      <c r="K360" s="17"/>
      <c r="L360" s="17"/>
      <c r="M360" s="17"/>
      <c r="N360" s="17"/>
      <c r="O360" s="17"/>
      <c r="P360" s="17"/>
      <c r="Q360" s="17"/>
      <c r="R360" s="17"/>
      <c r="S360" s="17"/>
      <c r="T360" s="17"/>
      <c r="U360" s="17"/>
      <c r="V360" s="17"/>
      <c r="W360" s="17"/>
      <c r="X360" s="17"/>
      <c r="Y360" s="17"/>
      <c r="Z360" s="17"/>
      <c r="AA360" s="17"/>
      <c r="AB360" s="17"/>
      <c r="AC360" s="17"/>
      <c r="AD360" s="17"/>
    </row>
    <row r="361" spans="1:30" s="161" customFormat="1" x14ac:dyDescent="0.35">
      <c r="A361" s="161" t="s">
        <v>162</v>
      </c>
      <c r="B361" s="163">
        <f>VLOOKUP(A361,'MTX CARAC'!$A$4:$W$131,14,0)</f>
        <v>44925</v>
      </c>
      <c r="C361" s="163"/>
      <c r="E361" s="17"/>
      <c r="F361" s="17"/>
      <c r="G361" s="17"/>
      <c r="H361" s="17"/>
      <c r="I361" s="17"/>
      <c r="J361" s="17"/>
      <c r="K361" s="17"/>
      <c r="L361" s="17"/>
      <c r="M361" s="17"/>
      <c r="N361" s="17"/>
      <c r="O361" s="17"/>
      <c r="P361" s="17"/>
      <c r="Q361" s="17"/>
      <c r="R361" s="17"/>
      <c r="S361" s="17"/>
      <c r="T361" s="17"/>
      <c r="U361" s="17"/>
      <c r="V361" s="17"/>
      <c r="W361" s="17"/>
      <c r="X361" s="17"/>
      <c r="Y361" s="17"/>
      <c r="Z361" s="17"/>
      <c r="AA361" s="17"/>
      <c r="AB361" s="17"/>
      <c r="AC361" s="17"/>
      <c r="AD361" s="17"/>
    </row>
    <row r="362" spans="1:30" s="161" customFormat="1" x14ac:dyDescent="0.35">
      <c r="A362" s="161" t="s">
        <v>128</v>
      </c>
      <c r="B362" s="163">
        <f>VLOOKUP(A362,'MTX CARAC'!$A$4:$W$131,14,0)</f>
        <v>44925</v>
      </c>
      <c r="C362" s="163"/>
      <c r="E362" s="17"/>
      <c r="F362" s="17"/>
      <c r="G362" s="17"/>
      <c r="H362" s="17"/>
      <c r="I362" s="17"/>
      <c r="J362" s="17"/>
      <c r="K362" s="17"/>
      <c r="L362" s="17"/>
      <c r="M362" s="17"/>
      <c r="N362" s="17"/>
      <c r="O362" s="17"/>
      <c r="P362" s="17"/>
      <c r="Q362" s="17"/>
      <c r="R362" s="17"/>
      <c r="S362" s="17"/>
      <c r="T362" s="17"/>
      <c r="U362" s="17"/>
      <c r="V362" s="17"/>
      <c r="W362" s="17"/>
      <c r="X362" s="17"/>
      <c r="Y362" s="17"/>
      <c r="Z362" s="17"/>
      <c r="AA362" s="17"/>
      <c r="AB362" s="17"/>
      <c r="AC362" s="17"/>
      <c r="AD362" s="17"/>
    </row>
    <row r="363" spans="1:30" s="161" customFormat="1" x14ac:dyDescent="0.35">
      <c r="A363" s="161" t="s">
        <v>130</v>
      </c>
      <c r="B363" s="163">
        <f>VLOOKUP(A363,'MTX CARAC'!$A$4:$W$131,14,0)</f>
        <v>44925</v>
      </c>
      <c r="C363" s="163"/>
      <c r="E363" s="17"/>
      <c r="F363" s="17"/>
      <c r="G363" s="17"/>
      <c r="H363" s="17"/>
      <c r="I363" s="17"/>
      <c r="J363" s="17"/>
      <c r="K363" s="17"/>
      <c r="L363" s="17"/>
      <c r="M363" s="17"/>
      <c r="N363" s="17"/>
      <c r="O363" s="17"/>
      <c r="P363" s="17"/>
      <c r="Q363" s="17"/>
      <c r="R363" s="17"/>
      <c r="S363" s="17"/>
      <c r="T363" s="17"/>
      <c r="U363" s="17"/>
      <c r="V363" s="17"/>
      <c r="W363" s="17"/>
      <c r="X363" s="17"/>
      <c r="Y363" s="17"/>
      <c r="Z363" s="17"/>
      <c r="AA363" s="17"/>
      <c r="AB363" s="17"/>
      <c r="AC363" s="17"/>
      <c r="AD363" s="17"/>
    </row>
    <row r="364" spans="1:30" s="161" customFormat="1" x14ac:dyDescent="0.35">
      <c r="A364" s="161" t="s">
        <v>131</v>
      </c>
      <c r="B364" s="163">
        <f>VLOOKUP(A364,'MTX CARAC'!$A$4:$W$131,14,0)</f>
        <v>44925</v>
      </c>
      <c r="C364" s="163"/>
      <c r="E364" s="17"/>
      <c r="F364" s="17"/>
      <c r="G364" s="17"/>
      <c r="H364" s="17"/>
      <c r="I364" s="17"/>
      <c r="J364" s="17"/>
      <c r="K364" s="17"/>
      <c r="L364" s="17"/>
      <c r="M364" s="17"/>
      <c r="N364" s="17"/>
      <c r="O364" s="17"/>
      <c r="P364" s="17"/>
      <c r="Q364" s="17"/>
      <c r="R364" s="17"/>
      <c r="S364" s="17"/>
      <c r="T364" s="17"/>
      <c r="U364" s="17"/>
      <c r="V364" s="17"/>
      <c r="W364" s="17"/>
      <c r="X364" s="17"/>
      <c r="Y364" s="17"/>
      <c r="Z364" s="17"/>
      <c r="AA364" s="17"/>
      <c r="AB364" s="17"/>
      <c r="AC364" s="17"/>
      <c r="AD364" s="17"/>
    </row>
    <row r="365" spans="1:30" s="161" customFormat="1" x14ac:dyDescent="0.35">
      <c r="A365" s="161" t="s">
        <v>129</v>
      </c>
      <c r="B365" s="163">
        <f>VLOOKUP(A365,'MTX CARAC'!$A$4:$W$131,14,0)</f>
        <v>44925</v>
      </c>
      <c r="C365" s="163"/>
      <c r="E365" s="17"/>
      <c r="F365" s="17"/>
      <c r="G365" s="17"/>
      <c r="H365" s="17"/>
      <c r="I365" s="17"/>
      <c r="J365" s="17"/>
      <c r="K365" s="17"/>
      <c r="L365" s="17"/>
      <c r="M365" s="17"/>
      <c r="N365" s="17"/>
      <c r="O365" s="17"/>
      <c r="P365" s="17"/>
      <c r="Q365" s="17"/>
      <c r="R365" s="17"/>
      <c r="S365" s="17"/>
      <c r="T365" s="17"/>
      <c r="U365" s="17"/>
      <c r="V365" s="17"/>
      <c r="W365" s="17"/>
      <c r="X365" s="17"/>
      <c r="Y365" s="17"/>
      <c r="Z365" s="17"/>
      <c r="AA365" s="17"/>
      <c r="AB365" s="17"/>
      <c r="AC365" s="17"/>
      <c r="AD365" s="17"/>
    </row>
    <row r="366" spans="1:30" s="161" customFormat="1" x14ac:dyDescent="0.35">
      <c r="A366" s="161" t="s">
        <v>146</v>
      </c>
      <c r="B366" s="163">
        <f>VLOOKUP(A366,'MTX CARAC'!$A$4:$W$131,14,0)</f>
        <v>44925</v>
      </c>
      <c r="C366" s="163"/>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row>
    <row r="367" spans="1:30" s="161" customFormat="1" x14ac:dyDescent="0.35">
      <c r="A367" s="161" t="s">
        <v>147</v>
      </c>
      <c r="B367" s="163">
        <f>VLOOKUP(A367,'MTX CARAC'!$A$4:$W$131,14,0)</f>
        <v>44925</v>
      </c>
      <c r="C367" s="163"/>
      <c r="E367" s="17"/>
      <c r="F367" s="17"/>
      <c r="G367" s="17"/>
      <c r="H367" s="17"/>
      <c r="I367" s="17"/>
      <c r="J367" s="17"/>
      <c r="K367" s="17"/>
      <c r="L367" s="17"/>
      <c r="M367" s="17"/>
      <c r="N367" s="17"/>
      <c r="O367" s="17"/>
      <c r="P367" s="17"/>
      <c r="Q367" s="17"/>
      <c r="R367" s="17"/>
      <c r="S367" s="17"/>
      <c r="T367" s="17"/>
      <c r="U367" s="17"/>
      <c r="V367" s="17"/>
      <c r="W367" s="17"/>
      <c r="X367" s="17"/>
      <c r="Y367" s="17"/>
      <c r="Z367" s="17"/>
      <c r="AA367" s="17"/>
      <c r="AB367" s="17"/>
      <c r="AC367" s="17"/>
      <c r="AD367" s="17"/>
    </row>
    <row r="368" spans="1:30" s="161" customFormat="1" x14ac:dyDescent="0.35">
      <c r="A368" s="161" t="s">
        <v>165</v>
      </c>
      <c r="B368" s="163">
        <f>VLOOKUP(A368,'MTX CARAC'!$A$4:$W$131,14,0)</f>
        <v>44925</v>
      </c>
      <c r="C368" s="163"/>
      <c r="E368" s="17"/>
      <c r="F368" s="17"/>
      <c r="G368" s="17"/>
      <c r="H368" s="17"/>
      <c r="I368" s="17"/>
      <c r="J368" s="17"/>
      <c r="K368" s="17"/>
      <c r="L368" s="17"/>
      <c r="M368" s="17"/>
      <c r="N368" s="17"/>
      <c r="O368" s="17"/>
      <c r="P368" s="17"/>
      <c r="Q368" s="17"/>
      <c r="R368" s="17"/>
      <c r="S368" s="17"/>
      <c r="T368" s="17"/>
      <c r="U368" s="17"/>
      <c r="V368" s="17"/>
      <c r="W368" s="17"/>
      <c r="X368" s="17"/>
      <c r="Y368" s="17"/>
      <c r="Z368" s="17"/>
      <c r="AA368" s="17"/>
      <c r="AB368" s="17"/>
      <c r="AC368" s="17"/>
      <c r="AD368" s="17"/>
    </row>
    <row r="369" spans="1:30" s="161" customFormat="1" x14ac:dyDescent="0.35">
      <c r="A369" s="161" t="s">
        <v>148</v>
      </c>
      <c r="B369" s="163">
        <f>VLOOKUP(A369,'MTX CARAC'!$A$4:$W$131,14,0)</f>
        <v>44925</v>
      </c>
      <c r="C369" s="163"/>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row>
    <row r="370" spans="1:30" s="161" customFormat="1" x14ac:dyDescent="0.35">
      <c r="A370" s="161" t="s">
        <v>149</v>
      </c>
      <c r="B370" s="163">
        <f>VLOOKUP(A370,'MTX CARAC'!$A$4:$W$131,14,0)</f>
        <v>44925</v>
      </c>
      <c r="C370" s="163"/>
      <c r="E370" s="17"/>
      <c r="F370" s="17"/>
      <c r="G370" s="17"/>
      <c r="H370" s="17"/>
      <c r="I370" s="17"/>
      <c r="J370" s="17"/>
      <c r="K370" s="17"/>
      <c r="L370" s="17"/>
      <c r="M370" s="17"/>
      <c r="N370" s="17"/>
      <c r="O370" s="17"/>
      <c r="P370" s="17"/>
      <c r="Q370" s="17"/>
      <c r="R370" s="17"/>
      <c r="S370" s="17"/>
      <c r="T370" s="17"/>
      <c r="U370" s="17"/>
      <c r="V370" s="17"/>
      <c r="W370" s="17"/>
      <c r="X370" s="17"/>
      <c r="Y370" s="17"/>
      <c r="Z370" s="17"/>
      <c r="AA370" s="17"/>
      <c r="AB370" s="17"/>
      <c r="AC370" s="17"/>
      <c r="AD370" s="17"/>
    </row>
    <row r="371" spans="1:30" s="161" customFormat="1" x14ac:dyDescent="0.35">
      <c r="B371" s="163"/>
      <c r="C371" s="163"/>
      <c r="E371" s="17"/>
      <c r="F371" s="17"/>
      <c r="G371" s="17"/>
      <c r="H371" s="17"/>
      <c r="I371" s="17"/>
      <c r="J371" s="17"/>
      <c r="K371" s="17"/>
      <c r="L371" s="17"/>
      <c r="M371" s="17"/>
      <c r="N371" s="17"/>
      <c r="O371" s="17"/>
      <c r="P371" s="17"/>
      <c r="Q371" s="17"/>
      <c r="R371" s="17"/>
      <c r="S371" s="17"/>
      <c r="T371" s="17"/>
      <c r="U371" s="17"/>
      <c r="V371" s="17"/>
      <c r="W371" s="17"/>
      <c r="X371" s="17"/>
      <c r="Y371" s="17"/>
      <c r="Z371" s="17"/>
      <c r="AA371" s="17"/>
      <c r="AB371" s="17"/>
      <c r="AC371" s="17"/>
      <c r="AD371" s="17"/>
    </row>
    <row r="372" spans="1:30" s="161" customFormat="1" x14ac:dyDescent="0.35">
      <c r="A372" s="161" t="s">
        <v>77</v>
      </c>
      <c r="B372" s="163"/>
      <c r="C372" s="163"/>
      <c r="E372" s="17"/>
      <c r="F372" s="17"/>
      <c r="G372" s="17"/>
      <c r="H372" s="17"/>
      <c r="I372" s="17"/>
      <c r="J372" s="17"/>
      <c r="K372" s="17"/>
      <c r="L372" s="17"/>
      <c r="M372" s="17"/>
      <c r="N372" s="17"/>
      <c r="O372" s="17"/>
      <c r="P372" s="17"/>
      <c r="Q372" s="17"/>
      <c r="R372" s="17"/>
      <c r="S372" s="17"/>
      <c r="T372" s="17"/>
      <c r="U372" s="17"/>
      <c r="V372" s="17"/>
      <c r="W372" s="17"/>
      <c r="X372" s="17"/>
      <c r="Y372" s="17"/>
      <c r="Z372" s="17"/>
      <c r="AA372" s="17"/>
      <c r="AB372" s="17"/>
      <c r="AC372" s="17"/>
      <c r="AD372" s="17"/>
    </row>
    <row r="373" spans="1:30" s="161" customFormat="1" x14ac:dyDescent="0.35">
      <c r="A373" s="161" t="s">
        <v>76</v>
      </c>
      <c r="B373" s="163"/>
      <c r="C373" s="163"/>
      <c r="E373" s="17"/>
      <c r="F373" s="17"/>
      <c r="G373" s="17"/>
      <c r="H373" s="17"/>
      <c r="I373" s="17"/>
      <c r="J373" s="17"/>
      <c r="K373" s="17"/>
      <c r="L373" s="17"/>
      <c r="M373" s="17"/>
      <c r="N373" s="17"/>
      <c r="O373" s="17"/>
      <c r="P373" s="17"/>
      <c r="Q373" s="17"/>
      <c r="R373" s="17"/>
      <c r="S373" s="17"/>
      <c r="T373" s="17"/>
      <c r="U373" s="17"/>
      <c r="V373" s="17"/>
      <c r="W373" s="17"/>
      <c r="X373" s="17"/>
      <c r="Y373" s="17"/>
      <c r="Z373" s="17"/>
      <c r="AA373" s="17"/>
      <c r="AB373" s="17"/>
      <c r="AC373" s="17"/>
      <c r="AD373" s="17"/>
    </row>
    <row r="374" spans="1:30" s="161" customFormat="1" x14ac:dyDescent="0.35">
      <c r="A374" s="161" t="s">
        <v>175</v>
      </c>
      <c r="B374" s="163"/>
      <c r="C374" s="163"/>
      <c r="E374" s="17"/>
      <c r="F374" s="17"/>
      <c r="G374" s="17"/>
      <c r="H374" s="17"/>
      <c r="I374" s="17"/>
      <c r="J374" s="17"/>
      <c r="K374" s="17"/>
      <c r="L374" s="17"/>
      <c r="M374" s="17"/>
      <c r="N374" s="17"/>
      <c r="O374" s="17"/>
      <c r="P374" s="17"/>
      <c r="Q374" s="17"/>
      <c r="R374" s="17"/>
      <c r="S374" s="17"/>
      <c r="T374" s="17"/>
      <c r="U374" s="17"/>
      <c r="V374" s="17"/>
      <c r="W374" s="17"/>
      <c r="X374" s="17"/>
      <c r="Y374" s="17"/>
      <c r="Z374" s="17"/>
      <c r="AA374" s="17"/>
      <c r="AB374" s="17"/>
      <c r="AC374" s="17"/>
      <c r="AD374" s="17"/>
    </row>
    <row r="375" spans="1:30" s="161" customFormat="1" x14ac:dyDescent="0.35">
      <c r="A375" s="161" t="s">
        <v>174</v>
      </c>
      <c r="B375" s="163"/>
      <c r="C375" s="163"/>
      <c r="E375" s="17"/>
      <c r="F375" s="17"/>
      <c r="G375" s="17"/>
      <c r="H375" s="17"/>
      <c r="I375" s="17"/>
      <c r="J375" s="17"/>
      <c r="K375" s="17"/>
      <c r="L375" s="17"/>
      <c r="M375" s="17"/>
      <c r="N375" s="17"/>
      <c r="O375" s="17"/>
      <c r="P375" s="17"/>
      <c r="Q375" s="17"/>
      <c r="R375" s="17"/>
      <c r="S375" s="17"/>
      <c r="T375" s="17"/>
      <c r="U375" s="17"/>
      <c r="V375" s="17"/>
      <c r="W375" s="17"/>
      <c r="X375" s="17"/>
      <c r="Y375" s="17"/>
      <c r="Z375" s="17"/>
      <c r="AA375" s="17"/>
      <c r="AB375" s="17"/>
      <c r="AC375" s="17"/>
      <c r="AD375" s="17"/>
    </row>
    <row r="376" spans="1:30" s="161" customFormat="1" x14ac:dyDescent="0.35">
      <c r="A376" s="161" t="s">
        <v>176</v>
      </c>
      <c r="B376" s="163"/>
      <c r="C376" s="163"/>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row>
    <row r="377" spans="1:30" s="161" customFormat="1" x14ac:dyDescent="0.35">
      <c r="A377" s="161" t="s">
        <v>16</v>
      </c>
      <c r="B377" s="163"/>
      <c r="C377" s="163"/>
      <c r="E377" s="17"/>
      <c r="F377" s="17"/>
      <c r="G377" s="17"/>
      <c r="H377" s="17"/>
      <c r="I377" s="17"/>
      <c r="J377" s="17"/>
      <c r="K377" s="17"/>
      <c r="L377" s="17"/>
      <c r="M377" s="17"/>
      <c r="N377" s="17"/>
      <c r="O377" s="17"/>
      <c r="P377" s="17"/>
      <c r="Q377" s="17"/>
      <c r="R377" s="17"/>
      <c r="S377" s="17"/>
      <c r="T377" s="17"/>
      <c r="U377" s="17"/>
      <c r="V377" s="17"/>
      <c r="W377" s="17"/>
      <c r="X377" s="17"/>
      <c r="Y377" s="17"/>
      <c r="Z377" s="17"/>
      <c r="AA377" s="17"/>
      <c r="AB377" s="17"/>
      <c r="AC377" s="17"/>
      <c r="AD377" s="17"/>
    </row>
    <row r="378" spans="1:30" s="161" customFormat="1" x14ac:dyDescent="0.35">
      <c r="A378" s="161" t="s">
        <v>272</v>
      </c>
      <c r="B378" s="163"/>
      <c r="C378" s="163"/>
      <c r="E378" s="17"/>
      <c r="F378" s="17"/>
      <c r="G378" s="17"/>
      <c r="H378" s="17"/>
      <c r="I378" s="17"/>
      <c r="J378" s="17"/>
      <c r="K378" s="17"/>
      <c r="L378" s="17"/>
      <c r="M378" s="17"/>
      <c r="N378" s="17"/>
      <c r="O378" s="17"/>
      <c r="P378" s="17"/>
      <c r="Q378" s="17"/>
      <c r="R378" s="17"/>
      <c r="S378" s="17"/>
      <c r="T378" s="17"/>
      <c r="U378" s="17"/>
      <c r="V378" s="17"/>
      <c r="W378" s="17"/>
      <c r="X378" s="17"/>
      <c r="Y378" s="17"/>
      <c r="Z378" s="17"/>
      <c r="AA378" s="17"/>
      <c r="AB378" s="17"/>
      <c r="AC378" s="17"/>
      <c r="AD378" s="17"/>
    </row>
    <row r="379" spans="1:30" s="161" customFormat="1" x14ac:dyDescent="0.35">
      <c r="A379" s="161" t="s">
        <v>210</v>
      </c>
      <c r="B379" s="163"/>
      <c r="C379" s="163"/>
      <c r="E379" s="17"/>
      <c r="F379" s="17"/>
      <c r="G379" s="17"/>
      <c r="H379" s="17"/>
      <c r="I379" s="17"/>
      <c r="J379" s="17"/>
      <c r="K379" s="17"/>
      <c r="L379" s="17"/>
      <c r="M379" s="17"/>
      <c r="N379" s="17"/>
      <c r="O379" s="17"/>
      <c r="P379" s="17"/>
      <c r="Q379" s="17"/>
      <c r="R379" s="17"/>
      <c r="S379" s="17"/>
      <c r="T379" s="17"/>
      <c r="U379" s="17"/>
      <c r="V379" s="17"/>
      <c r="W379" s="17"/>
      <c r="X379" s="17"/>
      <c r="Y379" s="17"/>
      <c r="Z379" s="17"/>
      <c r="AA379" s="17"/>
      <c r="AB379" s="17"/>
      <c r="AC379" s="17"/>
      <c r="AD379" s="17"/>
    </row>
    <row r="380" spans="1:30" s="161" customFormat="1" x14ac:dyDescent="0.35">
      <c r="A380" s="161" t="s">
        <v>271</v>
      </c>
      <c r="B380" s="163"/>
      <c r="C380" s="163"/>
      <c r="E380" s="17"/>
      <c r="F380" s="17"/>
      <c r="G380" s="17"/>
      <c r="H380" s="17"/>
      <c r="I380" s="17"/>
      <c r="J380" s="17"/>
      <c r="K380" s="17"/>
      <c r="L380" s="17"/>
      <c r="M380" s="17"/>
      <c r="N380" s="17"/>
      <c r="O380" s="17"/>
      <c r="P380" s="17"/>
      <c r="Q380" s="17"/>
      <c r="R380" s="17"/>
      <c r="S380" s="17"/>
      <c r="T380" s="17"/>
      <c r="U380" s="17"/>
      <c r="V380" s="17"/>
      <c r="W380" s="17"/>
      <c r="X380" s="17"/>
      <c r="Y380" s="17"/>
      <c r="Z380" s="17"/>
      <c r="AA380" s="17"/>
      <c r="AB380" s="17"/>
      <c r="AC380" s="17"/>
      <c r="AD380" s="17"/>
    </row>
    <row r="381" spans="1:30" s="161" customFormat="1" x14ac:dyDescent="0.35">
      <c r="A381" s="161" t="s">
        <v>112</v>
      </c>
      <c r="B381" s="163"/>
      <c r="C381" s="163"/>
      <c r="E381" s="17"/>
      <c r="F381" s="17"/>
      <c r="G381" s="17"/>
      <c r="H381" s="17"/>
      <c r="I381" s="17"/>
      <c r="J381" s="17"/>
      <c r="K381" s="17"/>
      <c r="L381" s="17"/>
      <c r="M381" s="17"/>
      <c r="N381" s="17"/>
      <c r="O381" s="17"/>
      <c r="P381" s="17"/>
      <c r="Q381" s="17"/>
      <c r="R381" s="17"/>
      <c r="S381" s="17"/>
      <c r="T381" s="17"/>
      <c r="U381" s="17"/>
      <c r="V381" s="17"/>
      <c r="W381" s="17"/>
      <c r="X381" s="17"/>
      <c r="Y381" s="17"/>
      <c r="Z381" s="17"/>
      <c r="AA381" s="17"/>
      <c r="AB381" s="17"/>
      <c r="AC381" s="17"/>
      <c r="AD381" s="17"/>
    </row>
    <row r="382" spans="1:30" s="161" customFormat="1" x14ac:dyDescent="0.35">
      <c r="A382" s="161" t="s">
        <v>189</v>
      </c>
      <c r="B382" s="163"/>
      <c r="C382" s="163"/>
      <c r="E382" s="17"/>
      <c r="F382" s="17"/>
      <c r="G382" s="17"/>
      <c r="H382" s="17"/>
      <c r="I382" s="17"/>
      <c r="J382" s="17"/>
      <c r="K382" s="17"/>
      <c r="L382" s="17"/>
      <c r="M382" s="17"/>
      <c r="N382" s="17"/>
      <c r="O382" s="17"/>
      <c r="P382" s="17"/>
      <c r="Q382" s="17"/>
      <c r="R382" s="17"/>
      <c r="S382" s="17"/>
      <c r="T382" s="17"/>
      <c r="U382" s="17"/>
      <c r="V382" s="17"/>
      <c r="W382" s="17"/>
      <c r="X382" s="17"/>
      <c r="Y382" s="17"/>
      <c r="Z382" s="17"/>
      <c r="AA382" s="17"/>
      <c r="AB382" s="17"/>
      <c r="AC382" s="17"/>
      <c r="AD382" s="17"/>
    </row>
    <row r="383" spans="1:30" s="161" customFormat="1" x14ac:dyDescent="0.35">
      <c r="A383" s="161" t="s">
        <v>188</v>
      </c>
      <c r="B383" s="163"/>
      <c r="C383" s="163"/>
      <c r="E383" s="17"/>
      <c r="F383" s="17"/>
      <c r="G383" s="17"/>
      <c r="H383" s="17"/>
      <c r="I383" s="17"/>
      <c r="J383" s="17"/>
      <c r="K383" s="17"/>
      <c r="L383" s="17"/>
      <c r="M383" s="17"/>
      <c r="N383" s="17"/>
      <c r="O383" s="17"/>
      <c r="P383" s="17"/>
      <c r="Q383" s="17"/>
      <c r="R383" s="17"/>
      <c r="S383" s="17"/>
      <c r="T383" s="17"/>
      <c r="U383" s="17"/>
      <c r="V383" s="17"/>
      <c r="W383" s="17"/>
      <c r="X383" s="17"/>
      <c r="Y383" s="17"/>
      <c r="Z383" s="17"/>
      <c r="AA383" s="17"/>
      <c r="AB383" s="17"/>
      <c r="AC383" s="17"/>
      <c r="AD383" s="17"/>
    </row>
    <row r="384" spans="1:30" s="161" customFormat="1" x14ac:dyDescent="0.35">
      <c r="A384" s="161" t="s">
        <v>61</v>
      </c>
      <c r="B384" s="163"/>
      <c r="C384" s="163"/>
      <c r="E384" s="17"/>
      <c r="F384" s="17"/>
      <c r="G384" s="17"/>
      <c r="H384" s="17"/>
      <c r="I384" s="17"/>
      <c r="J384" s="17"/>
      <c r="K384" s="17"/>
      <c r="L384" s="17"/>
      <c r="M384" s="17"/>
      <c r="N384" s="17"/>
      <c r="O384" s="17"/>
      <c r="P384" s="17"/>
      <c r="Q384" s="17"/>
      <c r="R384" s="17"/>
      <c r="S384" s="17"/>
      <c r="T384" s="17"/>
      <c r="U384" s="17"/>
      <c r="V384" s="17"/>
      <c r="W384" s="17"/>
      <c r="X384" s="17"/>
      <c r="Y384" s="17"/>
      <c r="Z384" s="17"/>
      <c r="AA384" s="17"/>
      <c r="AB384" s="17"/>
      <c r="AC384" s="17"/>
      <c r="AD384" s="17"/>
    </row>
    <row r="385" spans="1:30" s="161" customFormat="1" x14ac:dyDescent="0.35">
      <c r="A385" s="161" t="s">
        <v>18</v>
      </c>
      <c r="B385" s="163"/>
      <c r="C385" s="163"/>
      <c r="E385" s="17"/>
      <c r="F385" s="17"/>
      <c r="G385" s="17"/>
      <c r="H385" s="17"/>
      <c r="I385" s="17"/>
      <c r="J385" s="17"/>
      <c r="K385" s="17"/>
      <c r="L385" s="17"/>
      <c r="M385" s="17"/>
      <c r="N385" s="17"/>
      <c r="O385" s="17"/>
      <c r="P385" s="17"/>
      <c r="Q385" s="17"/>
      <c r="R385" s="17"/>
      <c r="S385" s="17"/>
      <c r="T385" s="17"/>
      <c r="U385" s="17"/>
      <c r="V385" s="17"/>
      <c r="W385" s="17"/>
      <c r="X385" s="17"/>
      <c r="Y385" s="17"/>
      <c r="Z385" s="17"/>
      <c r="AA385" s="17"/>
      <c r="AB385" s="17"/>
      <c r="AC385" s="17"/>
      <c r="AD385" s="17"/>
    </row>
    <row r="386" spans="1:30" s="161" customFormat="1" x14ac:dyDescent="0.35">
      <c r="B386" s="163"/>
      <c r="C386" s="163"/>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row>
    <row r="387" spans="1:30" s="161" customFormat="1" x14ac:dyDescent="0.35">
      <c r="B387" s="163"/>
      <c r="C387" s="163"/>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row>
    <row r="388" spans="1:30" s="161" customFormat="1" x14ac:dyDescent="0.35">
      <c r="B388" s="163"/>
      <c r="C388" s="163"/>
      <c r="E388" s="17"/>
      <c r="F388" s="17"/>
      <c r="G388" s="17"/>
      <c r="H388" s="17"/>
      <c r="I388" s="17"/>
      <c r="J388" s="17"/>
      <c r="K388" s="17"/>
      <c r="L388" s="17"/>
      <c r="M388" s="17"/>
      <c r="N388" s="17"/>
      <c r="O388" s="17"/>
      <c r="P388" s="17"/>
      <c r="Q388" s="17"/>
      <c r="R388" s="17"/>
      <c r="S388" s="17"/>
      <c r="T388" s="17"/>
      <c r="U388" s="17"/>
      <c r="V388" s="17"/>
      <c r="W388" s="17"/>
      <c r="X388" s="17"/>
      <c r="Y388" s="17"/>
      <c r="Z388" s="17"/>
      <c r="AA388" s="17"/>
      <c r="AB388" s="17"/>
      <c r="AC388" s="17"/>
      <c r="AD388" s="17"/>
    </row>
    <row r="389" spans="1:30" s="161" customFormat="1" x14ac:dyDescent="0.35">
      <c r="E389" s="17"/>
      <c r="F389" s="17"/>
      <c r="G389" s="17"/>
      <c r="H389" s="17"/>
      <c r="I389" s="17"/>
      <c r="J389" s="17"/>
      <c r="K389" s="17"/>
      <c r="L389" s="17"/>
      <c r="M389" s="17"/>
      <c r="N389" s="17"/>
      <c r="O389" s="17"/>
      <c r="P389" s="17"/>
      <c r="Q389" s="17"/>
      <c r="R389" s="17"/>
      <c r="S389" s="17"/>
      <c r="T389" s="17"/>
      <c r="U389" s="17"/>
      <c r="V389" s="17"/>
      <c r="W389" s="17"/>
      <c r="X389" s="17"/>
      <c r="Y389" s="17"/>
      <c r="Z389" s="17"/>
      <c r="AA389" s="17"/>
      <c r="AB389" s="17"/>
      <c r="AC389" s="17"/>
      <c r="AD389" s="17"/>
    </row>
    <row r="390" spans="1:30" s="161" customFormat="1" x14ac:dyDescent="0.35">
      <c r="E390" s="17"/>
      <c r="F390" s="17"/>
      <c r="G390" s="17"/>
      <c r="H390" s="17"/>
      <c r="I390" s="17"/>
      <c r="J390" s="17"/>
      <c r="K390" s="17"/>
      <c r="L390" s="17"/>
      <c r="M390" s="17"/>
      <c r="N390" s="17"/>
      <c r="O390" s="17"/>
      <c r="P390" s="17"/>
      <c r="Q390" s="17"/>
      <c r="R390" s="17"/>
      <c r="S390" s="17"/>
      <c r="T390" s="17"/>
      <c r="U390" s="17"/>
      <c r="V390" s="17"/>
      <c r="W390" s="17"/>
      <c r="X390" s="17"/>
      <c r="Y390" s="17"/>
      <c r="Z390" s="17"/>
      <c r="AA390" s="17"/>
      <c r="AB390" s="17"/>
      <c r="AC390" s="17"/>
      <c r="AD390" s="17"/>
    </row>
    <row r="391" spans="1:30" s="161" customFormat="1" x14ac:dyDescent="0.35">
      <c r="B391" s="161" t="str">
        <f>TEXT(B71,"dd-mmm-aa")</f>
        <v>28-abr-23</v>
      </c>
      <c r="C391" s="161" t="str">
        <f>TEXT(F7,"$#,###")</f>
        <v>$100</v>
      </c>
      <c r="E391" s="17"/>
      <c r="F391" s="17"/>
      <c r="G391" s="17"/>
      <c r="H391" s="17"/>
      <c r="I391" s="17"/>
      <c r="J391" s="17"/>
      <c r="K391" s="17"/>
      <c r="L391" s="17"/>
      <c r="M391" s="17"/>
      <c r="N391" s="17"/>
      <c r="O391" s="17"/>
      <c r="P391" s="17"/>
      <c r="Q391" s="17"/>
      <c r="R391" s="17"/>
      <c r="S391" s="17"/>
      <c r="T391" s="17"/>
      <c r="U391" s="17"/>
      <c r="V391" s="17"/>
      <c r="W391" s="17"/>
      <c r="X391" s="17"/>
      <c r="Y391" s="17"/>
      <c r="Z391" s="17"/>
      <c r="AA391" s="17"/>
      <c r="AB391" s="17"/>
      <c r="AC391" s="17"/>
      <c r="AD391" s="17"/>
    </row>
    <row r="392" spans="1:30" s="161" customFormat="1" x14ac:dyDescent="0.35">
      <c r="B392" s="161" t="str">
        <f>TEXT(B107,"dd-mmm-aa")</f>
        <v>30-abr-26</v>
      </c>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row>
    <row r="393" spans="1:30" s="161" customFormat="1" x14ac:dyDescent="0.35">
      <c r="B393" s="161" t="str">
        <f>+"Valor de "&amp;C391&amp;" del "&amp;B391&amp;" al "&amp;B392</f>
        <v>Valor de $100 del 28-abr-23 al 30-abr-26</v>
      </c>
      <c r="E393" s="17"/>
      <c r="F393" s="17"/>
      <c r="G393" s="17"/>
      <c r="H393" s="17"/>
      <c r="I393" s="17"/>
      <c r="J393" s="17"/>
      <c r="K393" s="17"/>
      <c r="L393" s="17"/>
      <c r="M393" s="17"/>
      <c r="N393" s="17"/>
      <c r="O393" s="17"/>
      <c r="P393" s="17"/>
      <c r="Q393" s="17"/>
      <c r="R393" s="17"/>
      <c r="S393" s="17"/>
      <c r="T393" s="17"/>
      <c r="U393" s="17"/>
      <c r="V393" s="17"/>
      <c r="W393" s="17"/>
      <c r="X393" s="17"/>
      <c r="Y393" s="17"/>
      <c r="Z393" s="17"/>
      <c r="AA393" s="17"/>
      <c r="AB393" s="17"/>
      <c r="AC393" s="17"/>
      <c r="AD393" s="17"/>
    </row>
    <row r="394" spans="1:30" s="17" customFormat="1" x14ac:dyDescent="0.35"/>
    <row r="395" spans="1:30" s="17" customFormat="1" x14ac:dyDescent="0.35">
      <c r="A395" s="155">
        <v>1</v>
      </c>
      <c r="B395" s="155">
        <f>+A395+1</f>
        <v>2</v>
      </c>
      <c r="C395" s="155">
        <f t="shared" ref="C395:E395" si="16">+B395+1</f>
        <v>3</v>
      </c>
      <c r="D395" s="155">
        <f t="shared" si="16"/>
        <v>4</v>
      </c>
      <c r="E395" s="155">
        <f t="shared" si="16"/>
        <v>5</v>
      </c>
      <c r="F395" s="155"/>
    </row>
    <row r="396" spans="1:30" s="17" customFormat="1" x14ac:dyDescent="0.35">
      <c r="A396" s="17" t="str">
        <f>+E14</f>
        <v>MULTIFA BF-1</v>
      </c>
      <c r="B396" s="155" t="s">
        <v>254</v>
      </c>
      <c r="C396" s="155" t="s">
        <v>255</v>
      </c>
      <c r="D396" s="155" t="s">
        <v>256</v>
      </c>
      <c r="E396" s="155" t="s">
        <v>257</v>
      </c>
      <c r="F396" s="155"/>
    </row>
    <row r="397" spans="1:30" s="17" customFormat="1" x14ac:dyDescent="0.35">
      <c r="A397" s="155">
        <f>HLOOKUP(A396,'MTX PRECIOS'!$A$95:$DZ$96,2,0)</f>
        <v>90</v>
      </c>
      <c r="B397" s="97">
        <f t="shared" ref="B397:E398" si="17">+H12</f>
        <v>46112</v>
      </c>
      <c r="C397" s="97">
        <f t="shared" si="17"/>
        <v>46052</v>
      </c>
      <c r="D397" s="97">
        <f t="shared" si="17"/>
        <v>45777</v>
      </c>
      <c r="E397" s="97">
        <f t="shared" si="17"/>
        <v>45044</v>
      </c>
      <c r="F397" s="155"/>
    </row>
    <row r="398" spans="1:30" s="17" customFormat="1" x14ac:dyDescent="0.35">
      <c r="B398" s="97">
        <f t="shared" si="17"/>
        <v>46142</v>
      </c>
      <c r="C398" s="97">
        <f t="shared" si="17"/>
        <v>46142</v>
      </c>
      <c r="D398" s="97">
        <f t="shared" si="17"/>
        <v>46142</v>
      </c>
      <c r="E398" s="97">
        <f t="shared" si="17"/>
        <v>46142</v>
      </c>
      <c r="F398" s="155"/>
    </row>
    <row r="399" spans="1:30" s="17" customFormat="1" x14ac:dyDescent="0.35">
      <c r="A399" s="17" t="s">
        <v>187</v>
      </c>
      <c r="B399" s="106">
        <f>+B398-B397</f>
        <v>30</v>
      </c>
      <c r="C399" s="106">
        <f t="shared" ref="C399:E399" si="18">+C398-C397</f>
        <v>90</v>
      </c>
      <c r="D399" s="106">
        <f t="shared" si="18"/>
        <v>365</v>
      </c>
      <c r="E399" s="106">
        <f t="shared" si="18"/>
        <v>1098</v>
      </c>
      <c r="F399" s="155"/>
    </row>
    <row r="400" spans="1:30" s="17" customFormat="1" x14ac:dyDescent="0.35">
      <c r="A400" s="17" t="s">
        <v>171</v>
      </c>
      <c r="B400" s="164">
        <f>VLOOKUP(B397,'MTX PRECIOS'!$A$5:$EC$95,$A$397,0)</f>
        <v>1.8362240000000001</v>
      </c>
      <c r="C400" s="164">
        <f>VLOOKUP(C397,'MTX PRECIOS'!$A$5:$EC$95,$A$397,0)</f>
        <v>1.865397</v>
      </c>
      <c r="D400" s="164">
        <f>VLOOKUP(D397,'MTX PRECIOS'!$A$5:$EC$95,$A$397,0)</f>
        <v>1.671961</v>
      </c>
      <c r="E400" s="164">
        <f>VLOOKUP(E397,'MTX PRECIOS'!$A$5:$EC$95,$A$397,0)</f>
        <v>1.2998190000000001</v>
      </c>
      <c r="F400" s="155"/>
    </row>
    <row r="401" spans="1:6" s="17" customFormat="1" x14ac:dyDescent="0.35">
      <c r="B401" s="164">
        <f>VLOOKUP(B398,'MTX PRECIOS'!$A$5:$EC$95,$A$397,0)</f>
        <v>1.9329019999999999</v>
      </c>
      <c r="C401" s="164">
        <f>VLOOKUP(C398,'MTX PRECIOS'!$A$5:$EC$95,$A$397,0)</f>
        <v>1.9329019999999999</v>
      </c>
      <c r="D401" s="164">
        <f>VLOOKUP(D398,'MTX PRECIOS'!$A$5:$EC$95,$A$397,0)</f>
        <v>1.9329019999999999</v>
      </c>
      <c r="E401" s="164">
        <f>VLOOKUP(E398,'MTX PRECIOS'!$A$5:$EC$95,$A$397,0)</f>
        <v>1.9329019999999999</v>
      </c>
      <c r="F401" s="155"/>
    </row>
    <row r="402" spans="1:6" s="17" customFormat="1" x14ac:dyDescent="0.35">
      <c r="A402" s="17" t="s">
        <v>204</v>
      </c>
      <c r="B402" s="165">
        <f>+B401/B400-1</f>
        <v>5.2650439162106544E-2</v>
      </c>
      <c r="C402" s="165">
        <f t="shared" ref="C402:D402" si="19">+C401/C400-1</f>
        <v>3.6188007164158487E-2</v>
      </c>
      <c r="D402" s="165">
        <f t="shared" si="19"/>
        <v>0.15606883174906594</v>
      </c>
      <c r="E402" s="165">
        <f>IF(E400&gt;0,E401/E400-1," ")</f>
        <v>0.48705473608248528</v>
      </c>
      <c r="F402" s="155"/>
    </row>
    <row r="403" spans="1:6" s="17" customFormat="1" x14ac:dyDescent="0.35">
      <c r="A403" s="17" t="s">
        <v>205</v>
      </c>
      <c r="B403" s="165">
        <f>+(B401/B400-1)*360/B399</f>
        <v>0.63180526994527852</v>
      </c>
      <c r="C403" s="165">
        <f t="shared" ref="C403:D403" si="20">+(C401/C400-1)*360/C399</f>
        <v>0.14475202865663395</v>
      </c>
      <c r="D403" s="165">
        <f t="shared" si="20"/>
        <v>0.15393090254702393</v>
      </c>
      <c r="E403" s="165">
        <f>IF(E400&gt;0,(E401/E400-1)*360/E399," ")</f>
        <v>0.15969007740409352</v>
      </c>
      <c r="F403" s="155"/>
    </row>
    <row r="404" spans="1:6" s="17" customFormat="1" x14ac:dyDescent="0.35">
      <c r="A404" s="17" t="s">
        <v>239</v>
      </c>
      <c r="B404" s="165">
        <f>+((B401/B400)^(360/B399))-1</f>
        <v>0.85101574019558934</v>
      </c>
      <c r="C404" s="165">
        <f t="shared" ref="C404:D404" si="21">+((C401/C400)^(360/C399))-1</f>
        <v>0.15280073799394644</v>
      </c>
      <c r="D404" s="165">
        <f t="shared" si="21"/>
        <v>0.15377440965690581</v>
      </c>
      <c r="E404" s="165">
        <f>IF(E400&gt;0,((E401/E400)^(360/E399))-1," ")</f>
        <v>0.13893946242249644</v>
      </c>
      <c r="F404" s="155"/>
    </row>
    <row r="405" spans="1:6" s="17" customFormat="1" x14ac:dyDescent="0.35"/>
    <row r="406" spans="1:6" s="17" customFormat="1" x14ac:dyDescent="0.35">
      <c r="A406" s="155">
        <v>1</v>
      </c>
      <c r="B406" s="155">
        <f>+A406+1</f>
        <v>2</v>
      </c>
      <c r="C406" s="155">
        <f t="shared" ref="C406:E406" si="22">+B406+1</f>
        <v>3</v>
      </c>
      <c r="D406" s="155">
        <f t="shared" si="22"/>
        <v>4</v>
      </c>
      <c r="E406" s="155">
        <f t="shared" si="22"/>
        <v>5</v>
      </c>
    </row>
    <row r="407" spans="1:6" s="17" customFormat="1" x14ac:dyDescent="0.35">
      <c r="A407" s="17" t="str">
        <f>+E15</f>
        <v>MULTIRE BF-1</v>
      </c>
      <c r="B407" s="155" t="s">
        <v>254</v>
      </c>
      <c r="C407" s="155" t="s">
        <v>255</v>
      </c>
      <c r="D407" s="155" t="s">
        <v>256</v>
      </c>
      <c r="E407" s="155" t="s">
        <v>257</v>
      </c>
    </row>
    <row r="408" spans="1:6" s="17" customFormat="1" x14ac:dyDescent="0.35">
      <c r="A408" s="155">
        <f>HLOOKUP(A407,'MTX PRECIOS'!$A$95:$DZ$96,2,0)</f>
        <v>16</v>
      </c>
      <c r="B408" s="97">
        <f>+B397</f>
        <v>46112</v>
      </c>
      <c r="C408" s="97">
        <f t="shared" ref="C408:E409" si="23">+C397</f>
        <v>46052</v>
      </c>
      <c r="D408" s="97">
        <f t="shared" si="23"/>
        <v>45777</v>
      </c>
      <c r="E408" s="97">
        <f t="shared" si="23"/>
        <v>45044</v>
      </c>
    </row>
    <row r="409" spans="1:6" s="17" customFormat="1" x14ac:dyDescent="0.35">
      <c r="B409" s="97">
        <f>+B398</f>
        <v>46142</v>
      </c>
      <c r="C409" s="97">
        <f t="shared" si="23"/>
        <v>46142</v>
      </c>
      <c r="D409" s="97">
        <f t="shared" si="23"/>
        <v>46142</v>
      </c>
      <c r="E409" s="97">
        <f t="shared" si="23"/>
        <v>46142</v>
      </c>
    </row>
    <row r="410" spans="1:6" s="17" customFormat="1" x14ac:dyDescent="0.35">
      <c r="A410" s="17" t="s">
        <v>187</v>
      </c>
      <c r="B410" s="106">
        <f>+B409-B408</f>
        <v>30</v>
      </c>
      <c r="C410" s="106">
        <f t="shared" ref="C410" si="24">+C409-C408</f>
        <v>90</v>
      </c>
      <c r="D410" s="106">
        <f t="shared" ref="D410" si="25">+D409-D408</f>
        <v>365</v>
      </c>
      <c r="E410" s="106">
        <f t="shared" ref="E410" si="26">+E409-E408</f>
        <v>1098</v>
      </c>
    </row>
    <row r="411" spans="1:6" s="17" customFormat="1" x14ac:dyDescent="0.35">
      <c r="A411" s="17" t="s">
        <v>171</v>
      </c>
      <c r="B411" s="164">
        <f>VLOOKUP(B408,'MTX PRECIOS'!$A$5:$EC$95,$A$408,0)</f>
        <v>6.8607649999999998</v>
      </c>
      <c r="C411" s="164">
        <f>VLOOKUP(C408,'MTX PRECIOS'!$A$5:$EC$95,$A$408,0)</f>
        <v>6.8145090000000001</v>
      </c>
      <c r="D411" s="164">
        <f>VLOOKUP(D408,'MTX PRECIOS'!$A$5:$EC$95,$A$408,0)</f>
        <v>6.5267109999999997</v>
      </c>
      <c r="E411" s="164">
        <f>VLOOKUP(E408,'MTX PRECIOS'!$A$5:$EC$95,$A$408,0)</f>
        <v>5.4640029999999999</v>
      </c>
    </row>
    <row r="412" spans="1:6" s="17" customFormat="1" x14ac:dyDescent="0.35">
      <c r="B412" s="164">
        <f>VLOOKUP(B409,'MTX PRECIOS'!$A$5:$EC$95,$A$408,0)</f>
        <v>6.8893259999999996</v>
      </c>
      <c r="C412" s="164">
        <f>VLOOKUP(C409,'MTX PRECIOS'!$A$5:$EC$95,$A$408,0)</f>
        <v>6.8893259999999996</v>
      </c>
      <c r="D412" s="164">
        <f>VLOOKUP(D409,'MTX PRECIOS'!$A$5:$EC$95,$A$408,0)</f>
        <v>6.8893259999999996</v>
      </c>
      <c r="E412" s="164">
        <f>VLOOKUP(E409,'MTX PRECIOS'!$A$5:$EC$95,$A$408,0)</f>
        <v>6.8893259999999996</v>
      </c>
    </row>
    <row r="413" spans="1:6" s="17" customFormat="1" x14ac:dyDescent="0.35">
      <c r="A413" s="17" t="s">
        <v>204</v>
      </c>
      <c r="B413" s="165">
        <f>+B412/B411-1</f>
        <v>4.1629468433912464E-3</v>
      </c>
      <c r="C413" s="165">
        <f t="shared" ref="C413" si="27">+C412/C411-1</f>
        <v>1.0979074207694062E-2</v>
      </c>
      <c r="D413" s="165">
        <f t="shared" ref="D413" si="28">+D412/D411-1</f>
        <v>5.5558611374090239E-2</v>
      </c>
      <c r="E413" s="165">
        <f>+IF(E411&gt;0,E412/E411-1," ")</f>
        <v>0.26085692119861559</v>
      </c>
    </row>
    <row r="414" spans="1:6" s="17" customFormat="1" x14ac:dyDescent="0.35">
      <c r="A414" s="17" t="s">
        <v>205</v>
      </c>
      <c r="B414" s="165">
        <f>+(B412/B411-1)*360/B410</f>
        <v>4.9955362120694957E-2</v>
      </c>
      <c r="C414" s="165">
        <f t="shared" ref="C414:D414" si="29">+(C412/C411-1)*360/C410</f>
        <v>4.3916296830776247E-2</v>
      </c>
      <c r="D414" s="165">
        <f t="shared" si="29"/>
        <v>5.4797534505952018E-2</v>
      </c>
      <c r="E414" s="165">
        <f>+IF(E411&gt;0,(E412/E411-1)*360/E410," ")</f>
        <v>8.5526859409382164E-2</v>
      </c>
    </row>
    <row r="415" spans="1:6" s="17" customFormat="1" x14ac:dyDescent="0.35">
      <c r="A415" s="17" t="s">
        <v>239</v>
      </c>
      <c r="B415" s="165">
        <f>+((B412/B411)^(360/B410))-1</f>
        <v>5.1115171891407352E-2</v>
      </c>
      <c r="C415" s="165">
        <f t="shared" ref="C415:D415" si="30">+((C412/C411)^(360/C410))-1</f>
        <v>4.4644845456947246E-2</v>
      </c>
      <c r="D415" s="165">
        <f t="shared" si="30"/>
        <v>5.4777062812326971E-2</v>
      </c>
      <c r="E415" s="165">
        <f>+IF(E411&gt;0,((E412/E411)^(360/E410))-1," ")</f>
        <v>7.8959597636941492E-2</v>
      </c>
    </row>
    <row r="416" spans="1:6" s="17" customFormat="1" x14ac:dyDescent="0.35"/>
    <row r="417" s="17" customFormat="1" x14ac:dyDescent="0.35"/>
    <row r="418" s="17" customFormat="1" x14ac:dyDescent="0.35"/>
    <row r="419" s="17" customFormat="1" x14ac:dyDescent="0.35"/>
    <row r="420" s="17" customFormat="1" x14ac:dyDescent="0.35"/>
    <row r="421" s="17" customFormat="1" x14ac:dyDescent="0.35"/>
    <row r="422" s="17" customFormat="1" x14ac:dyDescent="0.35"/>
    <row r="423" s="17" customFormat="1" x14ac:dyDescent="0.35"/>
    <row r="424" s="17" customFormat="1" x14ac:dyDescent="0.35"/>
    <row r="425" s="17" customFormat="1" x14ac:dyDescent="0.35"/>
    <row r="426" s="17" customFormat="1" x14ac:dyDescent="0.35"/>
    <row r="427" s="17" customFormat="1" x14ac:dyDescent="0.35"/>
    <row r="428" s="17" customFormat="1" x14ac:dyDescent="0.35"/>
    <row r="429" s="17" customFormat="1" x14ac:dyDescent="0.35"/>
    <row r="430" s="17" customFormat="1" x14ac:dyDescent="0.35"/>
    <row r="431" s="17" customFormat="1" x14ac:dyDescent="0.35"/>
    <row r="432" s="17" customFormat="1" x14ac:dyDescent="0.35"/>
    <row r="433" s="17" customFormat="1" x14ac:dyDescent="0.35"/>
    <row r="434" s="17" customFormat="1" x14ac:dyDescent="0.35"/>
    <row r="435" s="17" customFormat="1" x14ac:dyDescent="0.35"/>
    <row r="436" s="17" customFormat="1" x14ac:dyDescent="0.35"/>
    <row r="437" s="17" customFormat="1" x14ac:dyDescent="0.35"/>
    <row r="438" s="17" customFormat="1" x14ac:dyDescent="0.35"/>
    <row r="439" s="17" customFormat="1" x14ac:dyDescent="0.35"/>
    <row r="440" s="17" customFormat="1" x14ac:dyDescent="0.35"/>
    <row r="441" s="17" customFormat="1" x14ac:dyDescent="0.35"/>
    <row r="442" s="17" customFormat="1" x14ac:dyDescent="0.35"/>
    <row r="443" s="17" customFormat="1" x14ac:dyDescent="0.35"/>
    <row r="444" s="17" customFormat="1" x14ac:dyDescent="0.35"/>
    <row r="445" s="17" customFormat="1" x14ac:dyDescent="0.35"/>
    <row r="446" s="17" customFormat="1" x14ac:dyDescent="0.35"/>
    <row r="447" s="17" customFormat="1" x14ac:dyDescent="0.35"/>
    <row r="448" s="17" customFormat="1" x14ac:dyDescent="0.35"/>
    <row r="449" spans="5:30" s="17" customFormat="1" x14ac:dyDescent="0.35"/>
    <row r="450" spans="5:30" s="17" customFormat="1" x14ac:dyDescent="0.35"/>
    <row r="451" spans="5:30" s="17" customFormat="1" x14ac:dyDescent="0.35"/>
    <row r="452" spans="5:30" s="17" customFormat="1" x14ac:dyDescent="0.35"/>
    <row r="453" spans="5:30" s="17" customFormat="1" x14ac:dyDescent="0.35"/>
    <row r="454" spans="5:30" s="17" customFormat="1" x14ac:dyDescent="0.35"/>
    <row r="455" spans="5:30" s="17" customFormat="1" x14ac:dyDescent="0.35"/>
    <row r="456" spans="5:30" s="17" customFormat="1" x14ac:dyDescent="0.35"/>
    <row r="457" spans="5:30" s="17" customFormat="1" x14ac:dyDescent="0.35"/>
    <row r="458" spans="5:30" s="17" customFormat="1" x14ac:dyDescent="0.35"/>
    <row r="459" spans="5:30" s="17" customFormat="1" x14ac:dyDescent="0.35"/>
    <row r="460" spans="5:30" s="161" customFormat="1" x14ac:dyDescent="0.35">
      <c r="E460" s="17"/>
      <c r="F460" s="17"/>
      <c r="G460" s="17"/>
      <c r="H460" s="17"/>
      <c r="I460" s="17"/>
      <c r="J460" s="17"/>
      <c r="K460" s="17"/>
      <c r="L460" s="17"/>
      <c r="M460" s="17"/>
      <c r="N460" s="17"/>
      <c r="O460" s="17"/>
      <c r="P460" s="17"/>
      <c r="Q460" s="17"/>
      <c r="R460" s="17"/>
      <c r="S460" s="17"/>
      <c r="T460" s="17"/>
      <c r="U460" s="17"/>
      <c r="V460" s="17"/>
      <c r="W460" s="17"/>
      <c r="X460" s="17"/>
      <c r="Y460" s="17"/>
      <c r="Z460" s="17"/>
      <c r="AA460" s="17"/>
      <c r="AB460" s="17"/>
      <c r="AC460" s="17"/>
      <c r="AD460" s="17"/>
    </row>
    <row r="461" spans="5:30" s="161" customFormat="1" x14ac:dyDescent="0.35">
      <c r="E461" s="17"/>
      <c r="F461" s="17"/>
      <c r="G461" s="17"/>
      <c r="H461" s="17"/>
      <c r="I461" s="17"/>
      <c r="J461" s="17"/>
      <c r="K461" s="17"/>
      <c r="L461" s="17"/>
      <c r="M461" s="17"/>
      <c r="N461" s="17"/>
      <c r="O461" s="17"/>
      <c r="P461" s="17"/>
      <c r="Q461" s="17"/>
      <c r="R461" s="17"/>
      <c r="S461" s="17"/>
      <c r="T461" s="17"/>
      <c r="U461" s="17"/>
      <c r="V461" s="17"/>
      <c r="W461" s="17"/>
      <c r="X461" s="17"/>
      <c r="Y461" s="17"/>
      <c r="Z461" s="17"/>
      <c r="AA461" s="17"/>
      <c r="AB461" s="17"/>
      <c r="AC461" s="17"/>
      <c r="AD461" s="17"/>
    </row>
    <row r="462" spans="5:30" s="161" customFormat="1" x14ac:dyDescent="0.35">
      <c r="E462" s="17"/>
      <c r="F462" s="17"/>
      <c r="G462" s="17"/>
      <c r="H462" s="17"/>
      <c r="I462" s="17"/>
      <c r="J462" s="17"/>
      <c r="K462" s="17"/>
      <c r="L462" s="17"/>
      <c r="M462" s="17"/>
      <c r="N462" s="17"/>
      <c r="O462" s="17"/>
      <c r="P462" s="17"/>
      <c r="Q462" s="17"/>
      <c r="R462" s="17"/>
      <c r="S462" s="17"/>
      <c r="T462" s="17"/>
      <c r="U462" s="17"/>
      <c r="V462" s="17"/>
      <c r="W462" s="17"/>
      <c r="X462" s="17"/>
      <c r="Y462" s="17"/>
      <c r="Z462" s="17"/>
      <c r="AA462" s="17"/>
      <c r="AB462" s="17"/>
      <c r="AC462" s="17"/>
      <c r="AD462" s="17"/>
    </row>
    <row r="463" spans="5:30" s="161" customFormat="1" x14ac:dyDescent="0.35">
      <c r="E463" s="17"/>
      <c r="F463" s="17"/>
      <c r="G463" s="17"/>
      <c r="H463" s="17"/>
      <c r="I463" s="17"/>
      <c r="J463" s="17"/>
      <c r="K463" s="17"/>
      <c r="L463" s="17"/>
      <c r="M463" s="17"/>
      <c r="N463" s="17"/>
      <c r="O463" s="17"/>
      <c r="P463" s="17"/>
      <c r="Q463" s="17"/>
      <c r="R463" s="17"/>
      <c r="S463" s="17"/>
      <c r="T463" s="17"/>
      <c r="U463" s="17"/>
      <c r="V463" s="17"/>
      <c r="W463" s="17"/>
      <c r="X463" s="17"/>
      <c r="Y463" s="17"/>
      <c r="Z463" s="17"/>
      <c r="AA463" s="17"/>
      <c r="AB463" s="17"/>
      <c r="AC463" s="17"/>
      <c r="AD463" s="17"/>
    </row>
    <row r="464" spans="5:30" s="161" customFormat="1" x14ac:dyDescent="0.35">
      <c r="E464" s="17"/>
      <c r="F464" s="17"/>
      <c r="G464" s="17"/>
      <c r="H464" s="17"/>
      <c r="I464" s="17"/>
      <c r="J464" s="17"/>
      <c r="K464" s="17"/>
      <c r="L464" s="17"/>
      <c r="M464" s="17"/>
      <c r="N464" s="17"/>
      <c r="O464" s="17"/>
      <c r="P464" s="17"/>
      <c r="Q464" s="17"/>
      <c r="R464" s="17"/>
      <c r="S464" s="17"/>
      <c r="T464" s="17"/>
      <c r="U464" s="17"/>
      <c r="V464" s="17"/>
      <c r="W464" s="17"/>
      <c r="X464" s="17"/>
      <c r="Y464" s="17"/>
      <c r="Z464" s="17"/>
      <c r="AA464" s="17"/>
      <c r="AB464" s="17"/>
      <c r="AC464" s="17"/>
      <c r="AD464" s="17"/>
    </row>
    <row r="465" spans="5:30" s="161" customFormat="1" x14ac:dyDescent="0.35">
      <c r="E465" s="17"/>
      <c r="F465" s="17"/>
      <c r="G465" s="17"/>
      <c r="H465" s="17"/>
      <c r="I465" s="17"/>
      <c r="J465" s="17"/>
      <c r="K465" s="17"/>
      <c r="L465" s="17"/>
      <c r="M465" s="17"/>
      <c r="N465" s="17"/>
      <c r="O465" s="17"/>
      <c r="P465" s="17"/>
      <c r="Q465" s="17"/>
      <c r="R465" s="17"/>
      <c r="S465" s="17"/>
      <c r="T465" s="17"/>
      <c r="U465" s="17"/>
      <c r="V465" s="17"/>
      <c r="W465" s="17"/>
      <c r="X465" s="17"/>
      <c r="Y465" s="17"/>
      <c r="Z465" s="17"/>
      <c r="AA465" s="17"/>
      <c r="AB465" s="17"/>
      <c r="AC465" s="17"/>
      <c r="AD465" s="17"/>
    </row>
    <row r="466" spans="5:30" s="161" customFormat="1" x14ac:dyDescent="0.35">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row>
    <row r="467" spans="5:30" s="161" customFormat="1" x14ac:dyDescent="0.35">
      <c r="E467" s="17"/>
      <c r="F467" s="17"/>
      <c r="G467" s="17"/>
      <c r="H467" s="17"/>
      <c r="I467" s="17"/>
      <c r="J467" s="17"/>
      <c r="K467" s="17"/>
      <c r="L467" s="17"/>
      <c r="M467" s="17"/>
      <c r="N467" s="17"/>
      <c r="O467" s="17"/>
      <c r="P467" s="17"/>
      <c r="Q467" s="17"/>
      <c r="R467" s="17"/>
      <c r="S467" s="17"/>
      <c r="T467" s="17"/>
      <c r="U467" s="17"/>
      <c r="V467" s="17"/>
      <c r="W467" s="17"/>
      <c r="X467" s="17"/>
      <c r="Y467" s="17"/>
      <c r="Z467" s="17"/>
      <c r="AA467" s="17"/>
      <c r="AB467" s="17"/>
      <c r="AC467" s="17"/>
      <c r="AD467" s="17"/>
    </row>
    <row r="468" spans="5:30" s="161" customFormat="1" x14ac:dyDescent="0.35">
      <c r="E468" s="17"/>
      <c r="F468" s="17"/>
      <c r="G468" s="17"/>
      <c r="H468" s="17"/>
      <c r="I468" s="17"/>
      <c r="J468" s="17"/>
      <c r="K468" s="17"/>
      <c r="L468" s="17"/>
      <c r="M468" s="17"/>
      <c r="N468" s="17"/>
      <c r="O468" s="17"/>
      <c r="P468" s="17"/>
      <c r="Q468" s="17"/>
      <c r="R468" s="17"/>
      <c r="S468" s="17"/>
      <c r="T468" s="17"/>
      <c r="U468" s="17"/>
      <c r="V468" s="17"/>
      <c r="W468" s="17"/>
      <c r="X468" s="17"/>
      <c r="Y468" s="17"/>
      <c r="Z468" s="17"/>
      <c r="AA468" s="17"/>
      <c r="AB468" s="17"/>
      <c r="AC468" s="17"/>
      <c r="AD468" s="17"/>
    </row>
    <row r="469" spans="5:30" s="161" customFormat="1" x14ac:dyDescent="0.35">
      <c r="E469" s="17"/>
      <c r="F469" s="17"/>
      <c r="G469" s="17"/>
      <c r="H469" s="17"/>
      <c r="I469" s="17"/>
      <c r="J469" s="17"/>
      <c r="K469" s="17"/>
      <c r="L469" s="17"/>
      <c r="M469" s="17"/>
      <c r="N469" s="17"/>
      <c r="O469" s="17"/>
      <c r="P469" s="17"/>
      <c r="Q469" s="17"/>
      <c r="R469" s="17"/>
      <c r="S469" s="17"/>
      <c r="T469" s="17"/>
      <c r="U469" s="17"/>
      <c r="V469" s="17"/>
      <c r="W469" s="17"/>
      <c r="X469" s="17"/>
      <c r="Y469" s="17"/>
      <c r="Z469" s="17"/>
      <c r="AA469" s="17"/>
      <c r="AB469" s="17"/>
      <c r="AC469" s="17"/>
      <c r="AD469" s="17"/>
    </row>
    <row r="470" spans="5:30" s="161" customFormat="1" x14ac:dyDescent="0.35">
      <c r="E470" s="17"/>
      <c r="F470" s="17"/>
      <c r="G470" s="17"/>
      <c r="H470" s="17"/>
      <c r="I470" s="17"/>
      <c r="J470" s="17"/>
      <c r="K470" s="17"/>
      <c r="L470" s="17"/>
      <c r="M470" s="17"/>
      <c r="N470" s="17"/>
      <c r="O470" s="17"/>
      <c r="P470" s="17"/>
      <c r="Q470" s="17"/>
      <c r="R470" s="17"/>
      <c r="S470" s="17"/>
      <c r="T470" s="17"/>
      <c r="U470" s="17"/>
      <c r="V470" s="17"/>
      <c r="W470" s="17"/>
      <c r="X470" s="17"/>
      <c r="Y470" s="17"/>
      <c r="Z470" s="17"/>
      <c r="AA470" s="17"/>
      <c r="AB470" s="17"/>
      <c r="AC470" s="17"/>
      <c r="AD470" s="17"/>
    </row>
    <row r="471" spans="5:30" s="161" customFormat="1" x14ac:dyDescent="0.35">
      <c r="E471" s="17"/>
      <c r="F471" s="17"/>
      <c r="G471" s="17"/>
      <c r="H471" s="17"/>
      <c r="I471" s="17"/>
      <c r="J471" s="17"/>
      <c r="K471" s="17"/>
      <c r="L471" s="17"/>
      <c r="M471" s="17"/>
      <c r="N471" s="17"/>
      <c r="O471" s="17"/>
      <c r="P471" s="17"/>
      <c r="Q471" s="17"/>
      <c r="R471" s="17"/>
      <c r="S471" s="17"/>
      <c r="T471" s="17"/>
      <c r="U471" s="17"/>
      <c r="V471" s="17"/>
      <c r="W471" s="17"/>
      <c r="X471" s="17"/>
      <c r="Y471" s="17"/>
      <c r="Z471" s="17"/>
      <c r="AA471" s="17"/>
      <c r="AB471" s="17"/>
      <c r="AC471" s="17"/>
      <c r="AD471" s="17"/>
    </row>
    <row r="472" spans="5:30" s="161" customFormat="1" x14ac:dyDescent="0.35">
      <c r="E472" s="17"/>
      <c r="F472" s="17"/>
      <c r="G472" s="17"/>
      <c r="H472" s="17"/>
      <c r="I472" s="17"/>
      <c r="J472" s="17"/>
      <c r="K472" s="17"/>
      <c r="L472" s="17"/>
      <c r="M472" s="17"/>
      <c r="N472" s="17"/>
      <c r="O472" s="17"/>
      <c r="P472" s="17"/>
      <c r="Q472" s="17"/>
      <c r="R472" s="17"/>
      <c r="S472" s="17"/>
      <c r="T472" s="17"/>
      <c r="U472" s="17"/>
      <c r="V472" s="17"/>
      <c r="W472" s="17"/>
      <c r="X472" s="17"/>
      <c r="Y472" s="17"/>
      <c r="Z472" s="17"/>
      <c r="AA472" s="17"/>
      <c r="AB472" s="17"/>
      <c r="AC472" s="17"/>
      <c r="AD472" s="17"/>
    </row>
    <row r="473" spans="5:30" s="161" customFormat="1" x14ac:dyDescent="0.35">
      <c r="E473" s="17"/>
      <c r="F473" s="17"/>
      <c r="G473" s="17"/>
      <c r="H473" s="17"/>
      <c r="I473" s="17"/>
      <c r="J473" s="17"/>
      <c r="K473" s="17"/>
      <c r="L473" s="17"/>
      <c r="M473" s="17"/>
      <c r="N473" s="17"/>
      <c r="O473" s="17"/>
      <c r="P473" s="17"/>
      <c r="Q473" s="17"/>
      <c r="R473" s="17"/>
      <c r="S473" s="17"/>
      <c r="T473" s="17"/>
      <c r="U473" s="17"/>
      <c r="V473" s="17"/>
      <c r="W473" s="17"/>
      <c r="X473" s="17"/>
      <c r="Y473" s="17"/>
      <c r="Z473" s="17"/>
      <c r="AA473" s="17"/>
      <c r="AB473" s="17"/>
      <c r="AC473" s="17"/>
      <c r="AD473" s="17"/>
    </row>
    <row r="474" spans="5:30" s="161" customFormat="1" x14ac:dyDescent="0.35">
      <c r="E474" s="17"/>
      <c r="F474" s="17"/>
      <c r="G474" s="17"/>
      <c r="H474" s="17"/>
      <c r="I474" s="17"/>
      <c r="J474" s="17"/>
      <c r="K474" s="17"/>
      <c r="L474" s="17"/>
      <c r="M474" s="17"/>
      <c r="N474" s="17"/>
      <c r="O474" s="17"/>
      <c r="P474" s="17"/>
      <c r="Q474" s="17"/>
      <c r="R474" s="17"/>
      <c r="S474" s="17"/>
      <c r="T474" s="17"/>
      <c r="U474" s="17"/>
      <c r="V474" s="17"/>
      <c r="W474" s="17"/>
      <c r="X474" s="17"/>
      <c r="Y474" s="17"/>
      <c r="Z474" s="17"/>
      <c r="AA474" s="17"/>
      <c r="AB474" s="17"/>
      <c r="AC474" s="17"/>
      <c r="AD474" s="17"/>
    </row>
    <row r="475" spans="5:30" s="161" customFormat="1" x14ac:dyDescent="0.35">
      <c r="E475" s="17"/>
      <c r="F475" s="17"/>
      <c r="G475" s="17"/>
      <c r="H475" s="17"/>
      <c r="I475" s="17"/>
      <c r="J475" s="17"/>
      <c r="K475" s="17"/>
      <c r="L475" s="17"/>
      <c r="M475" s="17"/>
      <c r="N475" s="17"/>
      <c r="O475" s="17"/>
      <c r="P475" s="17"/>
      <c r="Q475" s="17"/>
      <c r="R475" s="17"/>
      <c r="S475" s="17"/>
      <c r="T475" s="17"/>
      <c r="U475" s="17"/>
      <c r="V475" s="17"/>
      <c r="W475" s="17"/>
      <c r="X475" s="17"/>
      <c r="Y475" s="17"/>
      <c r="Z475" s="17"/>
      <c r="AA475" s="17"/>
      <c r="AB475" s="17"/>
      <c r="AC475" s="17"/>
      <c r="AD475" s="17"/>
    </row>
    <row r="476" spans="5:30" s="161" customFormat="1" x14ac:dyDescent="0.35">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row>
    <row r="477" spans="5:30" s="161" customFormat="1" x14ac:dyDescent="0.35">
      <c r="E477" s="17"/>
      <c r="F477" s="17"/>
      <c r="G477" s="17"/>
      <c r="H477" s="17"/>
      <c r="I477" s="17"/>
      <c r="J477" s="17"/>
      <c r="K477" s="17"/>
      <c r="L477" s="17"/>
      <c r="M477" s="17"/>
      <c r="N477" s="17"/>
      <c r="O477" s="17"/>
      <c r="P477" s="17"/>
      <c r="Q477" s="17"/>
      <c r="R477" s="17"/>
      <c r="S477" s="17"/>
      <c r="T477" s="17"/>
      <c r="U477" s="17"/>
      <c r="V477" s="17"/>
      <c r="W477" s="17"/>
      <c r="X477" s="17"/>
      <c r="Y477" s="17"/>
      <c r="Z477" s="17"/>
      <c r="AA477" s="17"/>
      <c r="AB477" s="17"/>
      <c r="AC477" s="17"/>
      <c r="AD477" s="17"/>
    </row>
    <row r="478" spans="5:30" s="161" customFormat="1" x14ac:dyDescent="0.35">
      <c r="E478" s="17"/>
      <c r="F478" s="17"/>
      <c r="G478" s="17"/>
      <c r="H478" s="17"/>
      <c r="I478" s="17"/>
      <c r="J478" s="17"/>
      <c r="K478" s="17"/>
      <c r="L478" s="17"/>
      <c r="M478" s="17"/>
      <c r="N478" s="17"/>
      <c r="O478" s="17"/>
      <c r="P478" s="17"/>
      <c r="Q478" s="17"/>
      <c r="R478" s="17"/>
      <c r="S478" s="17"/>
      <c r="T478" s="17"/>
      <c r="U478" s="17"/>
      <c r="V478" s="17"/>
      <c r="W478" s="17"/>
      <c r="X478" s="17"/>
      <c r="Y478" s="17"/>
      <c r="Z478" s="17"/>
      <c r="AA478" s="17"/>
      <c r="AB478" s="17"/>
      <c r="AC478" s="17"/>
      <c r="AD478" s="17"/>
    </row>
    <row r="479" spans="5:30" s="161" customFormat="1" x14ac:dyDescent="0.35">
      <c r="E479" s="17"/>
      <c r="F479" s="17"/>
      <c r="G479" s="17"/>
      <c r="H479" s="17"/>
      <c r="I479" s="17"/>
      <c r="J479" s="17"/>
      <c r="K479" s="17"/>
      <c r="L479" s="17"/>
      <c r="M479" s="17"/>
      <c r="N479" s="17"/>
      <c r="O479" s="17"/>
      <c r="P479" s="17"/>
      <c r="Q479" s="17"/>
      <c r="R479" s="17"/>
      <c r="S479" s="17"/>
      <c r="T479" s="17"/>
      <c r="U479" s="17"/>
      <c r="V479" s="17"/>
      <c r="W479" s="17"/>
      <c r="X479" s="17"/>
      <c r="Y479" s="17"/>
      <c r="Z479" s="17"/>
      <c r="AA479" s="17"/>
      <c r="AB479" s="17"/>
      <c r="AC479" s="17"/>
      <c r="AD479" s="17"/>
    </row>
    <row r="480" spans="5:30" s="161" customFormat="1" x14ac:dyDescent="0.35">
      <c r="E480" s="17"/>
      <c r="F480" s="17"/>
      <c r="G480" s="17"/>
      <c r="H480" s="17"/>
      <c r="I480" s="17"/>
      <c r="J480" s="17"/>
      <c r="K480" s="17"/>
      <c r="L480" s="17"/>
      <c r="M480" s="17"/>
      <c r="N480" s="17"/>
      <c r="O480" s="17"/>
      <c r="P480" s="17"/>
      <c r="Q480" s="17"/>
      <c r="R480" s="17"/>
      <c r="S480" s="17"/>
      <c r="T480" s="17"/>
      <c r="U480" s="17"/>
      <c r="V480" s="17"/>
      <c r="W480" s="17"/>
      <c r="X480" s="17"/>
      <c r="Y480" s="17"/>
      <c r="Z480" s="17"/>
      <c r="AA480" s="17"/>
      <c r="AB480" s="17"/>
      <c r="AC480" s="17"/>
      <c r="AD480" s="17"/>
    </row>
    <row r="481" spans="5:30" s="161" customFormat="1" x14ac:dyDescent="0.35">
      <c r="E481" s="17"/>
      <c r="F481" s="17"/>
      <c r="G481" s="17"/>
      <c r="H481" s="17"/>
      <c r="I481" s="17"/>
      <c r="J481" s="17"/>
      <c r="K481" s="17"/>
      <c r="L481" s="17"/>
      <c r="M481" s="17"/>
      <c r="N481" s="17"/>
      <c r="O481" s="17"/>
      <c r="P481" s="17"/>
      <c r="Q481" s="17"/>
      <c r="R481" s="17"/>
      <c r="S481" s="17"/>
      <c r="T481" s="17"/>
      <c r="U481" s="17"/>
      <c r="V481" s="17"/>
      <c r="W481" s="17"/>
      <c r="X481" s="17"/>
      <c r="Y481" s="17"/>
      <c r="Z481" s="17"/>
      <c r="AA481" s="17"/>
      <c r="AB481" s="17"/>
      <c r="AC481" s="17"/>
      <c r="AD481" s="17"/>
    </row>
    <row r="482" spans="5:30" s="161" customFormat="1" x14ac:dyDescent="0.35">
      <c r="E482" s="17"/>
      <c r="F482" s="17"/>
      <c r="G482" s="17"/>
      <c r="H482" s="17"/>
      <c r="I482" s="17"/>
      <c r="J482" s="17"/>
      <c r="K482" s="17"/>
      <c r="L482" s="17"/>
      <c r="M482" s="17"/>
      <c r="N482" s="17"/>
      <c r="O482" s="17"/>
      <c r="P482" s="17"/>
      <c r="Q482" s="17"/>
      <c r="R482" s="17"/>
      <c r="S482" s="17"/>
      <c r="T482" s="17"/>
      <c r="U482" s="17"/>
      <c r="V482" s="17"/>
      <c r="W482" s="17"/>
      <c r="X482" s="17"/>
      <c r="Y482" s="17"/>
      <c r="Z482" s="17"/>
      <c r="AA482" s="17"/>
      <c r="AB482" s="17"/>
      <c r="AC482" s="17"/>
      <c r="AD482" s="17"/>
    </row>
    <row r="483" spans="5:30" s="161" customFormat="1" x14ac:dyDescent="0.35">
      <c r="E483" s="17"/>
      <c r="F483" s="17"/>
      <c r="G483" s="17"/>
      <c r="H483" s="17"/>
      <c r="I483" s="17"/>
      <c r="J483" s="17"/>
      <c r="K483" s="17"/>
      <c r="L483" s="17"/>
      <c r="M483" s="17"/>
      <c r="N483" s="17"/>
      <c r="O483" s="17"/>
      <c r="P483" s="17"/>
      <c r="Q483" s="17"/>
      <c r="R483" s="17"/>
      <c r="S483" s="17"/>
      <c r="T483" s="17"/>
      <c r="U483" s="17"/>
      <c r="V483" s="17"/>
      <c r="W483" s="17"/>
      <c r="X483" s="17"/>
      <c r="Y483" s="17"/>
      <c r="Z483" s="17"/>
      <c r="AA483" s="17"/>
      <c r="AB483" s="17"/>
      <c r="AC483" s="17"/>
      <c r="AD483" s="17"/>
    </row>
    <row r="484" spans="5:30" s="161" customFormat="1" x14ac:dyDescent="0.35">
      <c r="E484" s="17"/>
      <c r="F484" s="17"/>
      <c r="G484" s="17"/>
      <c r="H484" s="17"/>
      <c r="I484" s="17"/>
      <c r="J484" s="17"/>
      <c r="K484" s="17"/>
      <c r="L484" s="17"/>
      <c r="M484" s="17"/>
      <c r="N484" s="17"/>
      <c r="O484" s="17"/>
      <c r="P484" s="17"/>
      <c r="Q484" s="17"/>
      <c r="R484" s="17"/>
      <c r="S484" s="17"/>
      <c r="T484" s="17"/>
      <c r="U484" s="17"/>
      <c r="V484" s="17"/>
      <c r="W484" s="17"/>
      <c r="X484" s="17"/>
      <c r="Y484" s="17"/>
      <c r="Z484" s="17"/>
      <c r="AA484" s="17"/>
      <c r="AB484" s="17"/>
      <c r="AC484" s="17"/>
      <c r="AD484" s="17"/>
    </row>
    <row r="485" spans="5:30" s="161" customFormat="1" x14ac:dyDescent="0.35">
      <c r="E485" s="17"/>
      <c r="F485" s="17"/>
      <c r="G485" s="17"/>
      <c r="H485" s="17"/>
      <c r="I485" s="17"/>
      <c r="J485" s="17"/>
      <c r="K485" s="17"/>
      <c r="L485" s="17"/>
      <c r="M485" s="17"/>
      <c r="N485" s="17"/>
      <c r="O485" s="17"/>
      <c r="P485" s="17"/>
      <c r="Q485" s="17"/>
      <c r="R485" s="17"/>
      <c r="S485" s="17"/>
      <c r="T485" s="17"/>
      <c r="U485" s="17"/>
      <c r="V485" s="17"/>
      <c r="W485" s="17"/>
      <c r="X485" s="17"/>
      <c r="Y485" s="17"/>
      <c r="Z485" s="17"/>
      <c r="AA485" s="17"/>
      <c r="AB485" s="17"/>
      <c r="AC485" s="17"/>
      <c r="AD485" s="17"/>
    </row>
    <row r="486" spans="5:30" s="161" customFormat="1" x14ac:dyDescent="0.35">
      <c r="E486" s="17"/>
      <c r="F486" s="17"/>
      <c r="G486" s="17"/>
      <c r="H486" s="17"/>
      <c r="I486" s="17"/>
      <c r="J486" s="17"/>
      <c r="K486" s="17"/>
      <c r="L486" s="17"/>
      <c r="M486" s="17"/>
      <c r="N486" s="17"/>
      <c r="O486" s="17"/>
      <c r="P486" s="17"/>
      <c r="Q486" s="17"/>
      <c r="R486" s="17"/>
      <c r="S486" s="17"/>
      <c r="T486" s="17"/>
      <c r="U486" s="17"/>
      <c r="V486" s="17"/>
      <c r="W486" s="17"/>
      <c r="X486" s="17"/>
      <c r="Y486" s="17"/>
      <c r="Z486" s="17"/>
      <c r="AA486" s="17"/>
      <c r="AB486" s="17"/>
      <c r="AC486" s="17"/>
      <c r="AD486" s="17"/>
    </row>
    <row r="487" spans="5:30" s="161" customFormat="1" x14ac:dyDescent="0.35">
      <c r="E487" s="17"/>
      <c r="F487" s="17"/>
      <c r="G487" s="17"/>
      <c r="H487" s="17"/>
      <c r="I487" s="17"/>
      <c r="J487" s="17"/>
      <c r="K487" s="17"/>
      <c r="L487" s="17"/>
      <c r="M487" s="17"/>
      <c r="N487" s="17"/>
      <c r="O487" s="17"/>
      <c r="P487" s="17"/>
      <c r="Q487" s="17"/>
      <c r="R487" s="17"/>
      <c r="S487" s="17"/>
      <c r="T487" s="17"/>
      <c r="U487" s="17"/>
      <c r="V487" s="17"/>
      <c r="W487" s="17"/>
      <c r="X487" s="17"/>
      <c r="Y487" s="17"/>
      <c r="Z487" s="17"/>
      <c r="AA487" s="17"/>
      <c r="AB487" s="17"/>
      <c r="AC487" s="17"/>
      <c r="AD487" s="17"/>
    </row>
    <row r="488" spans="5:30" s="161" customFormat="1" x14ac:dyDescent="0.35">
      <c r="E488" s="17"/>
      <c r="F488" s="17"/>
      <c r="G488" s="17"/>
      <c r="H488" s="17"/>
      <c r="I488" s="17"/>
      <c r="J488" s="17"/>
      <c r="K488" s="17"/>
      <c r="L488" s="17"/>
      <c r="M488" s="17"/>
      <c r="N488" s="17"/>
      <c r="O488" s="17"/>
      <c r="P488" s="17"/>
      <c r="Q488" s="17"/>
      <c r="R488" s="17"/>
      <c r="S488" s="17"/>
      <c r="T488" s="17"/>
      <c r="U488" s="17"/>
      <c r="V488" s="17"/>
      <c r="W488" s="17"/>
      <c r="X488" s="17"/>
      <c r="Y488" s="17"/>
      <c r="Z488" s="17"/>
      <c r="AA488" s="17"/>
      <c r="AB488" s="17"/>
      <c r="AC488" s="17"/>
      <c r="AD488" s="17"/>
    </row>
    <row r="489" spans="5:30" s="161" customFormat="1" x14ac:dyDescent="0.35">
      <c r="E489" s="17"/>
      <c r="F489" s="17"/>
      <c r="G489" s="17"/>
      <c r="H489" s="17"/>
      <c r="I489" s="17"/>
      <c r="J489" s="17"/>
      <c r="K489" s="17"/>
      <c r="L489" s="17"/>
      <c r="M489" s="17"/>
      <c r="N489" s="17"/>
      <c r="O489" s="17"/>
      <c r="P489" s="17"/>
      <c r="Q489" s="17"/>
      <c r="R489" s="17"/>
      <c r="S489" s="17"/>
      <c r="T489" s="17"/>
      <c r="U489" s="17"/>
      <c r="V489" s="17"/>
      <c r="W489" s="17"/>
      <c r="X489" s="17"/>
      <c r="Y489" s="17"/>
      <c r="Z489" s="17"/>
      <c r="AA489" s="17"/>
      <c r="AB489" s="17"/>
      <c r="AC489" s="17"/>
      <c r="AD489" s="17"/>
    </row>
    <row r="490" spans="5:30" s="161" customFormat="1" x14ac:dyDescent="0.35">
      <c r="E490" s="17"/>
      <c r="F490" s="17"/>
      <c r="G490" s="17"/>
      <c r="H490" s="17"/>
      <c r="I490" s="17"/>
      <c r="J490" s="17"/>
      <c r="K490" s="17"/>
      <c r="L490" s="17"/>
      <c r="M490" s="17"/>
      <c r="N490" s="17"/>
      <c r="O490" s="17"/>
      <c r="P490" s="17"/>
      <c r="Q490" s="17"/>
      <c r="R490" s="17"/>
      <c r="S490" s="17"/>
      <c r="T490" s="17"/>
      <c r="U490" s="17"/>
      <c r="V490" s="17"/>
      <c r="W490" s="17"/>
      <c r="X490" s="17"/>
      <c r="Y490" s="17"/>
      <c r="Z490" s="17"/>
      <c r="AA490" s="17"/>
      <c r="AB490" s="17"/>
      <c r="AC490" s="17"/>
      <c r="AD490" s="17"/>
    </row>
    <row r="491" spans="5:30" s="161" customFormat="1" x14ac:dyDescent="0.35">
      <c r="E491" s="17"/>
      <c r="F491" s="17"/>
      <c r="G491" s="17"/>
      <c r="H491" s="17"/>
      <c r="I491" s="17"/>
      <c r="J491" s="17"/>
      <c r="K491" s="17"/>
      <c r="L491" s="17"/>
      <c r="M491" s="17"/>
      <c r="N491" s="17"/>
      <c r="O491" s="17"/>
      <c r="P491" s="17"/>
      <c r="Q491" s="17"/>
      <c r="R491" s="17"/>
      <c r="S491" s="17"/>
      <c r="T491" s="17"/>
      <c r="U491" s="17"/>
      <c r="V491" s="17"/>
      <c r="W491" s="17"/>
      <c r="X491" s="17"/>
      <c r="Y491" s="17"/>
      <c r="Z491" s="17"/>
      <c r="AA491" s="17"/>
      <c r="AB491" s="17"/>
      <c r="AC491" s="17"/>
      <c r="AD491" s="17"/>
    </row>
    <row r="492" spans="5:30" s="161" customFormat="1" x14ac:dyDescent="0.35">
      <c r="E492" s="17"/>
      <c r="F492" s="17"/>
      <c r="G492" s="17"/>
      <c r="H492" s="17"/>
      <c r="I492" s="17"/>
      <c r="J492" s="17"/>
      <c r="K492" s="17"/>
      <c r="L492" s="17"/>
      <c r="M492" s="17"/>
      <c r="N492" s="17"/>
      <c r="O492" s="17"/>
      <c r="P492" s="17"/>
      <c r="Q492" s="17"/>
      <c r="R492" s="17"/>
      <c r="S492" s="17"/>
      <c r="T492" s="17"/>
      <c r="U492" s="17"/>
      <c r="V492" s="17"/>
      <c r="W492" s="17"/>
      <c r="X492" s="17"/>
      <c r="Y492" s="17"/>
      <c r="Z492" s="17"/>
      <c r="AA492" s="17"/>
      <c r="AB492" s="17"/>
      <c r="AC492" s="17"/>
      <c r="AD492" s="17"/>
    </row>
    <row r="493" spans="5:30" s="161" customFormat="1" x14ac:dyDescent="0.35">
      <c r="E493" s="17"/>
      <c r="F493" s="17"/>
      <c r="G493" s="17"/>
      <c r="H493" s="17"/>
      <c r="I493" s="17"/>
      <c r="J493" s="17"/>
      <c r="K493" s="17"/>
      <c r="L493" s="17"/>
      <c r="M493" s="17"/>
      <c r="N493" s="17"/>
      <c r="O493" s="17"/>
      <c r="P493" s="17"/>
      <c r="Q493" s="17"/>
      <c r="R493" s="17"/>
      <c r="S493" s="17"/>
      <c r="T493" s="17"/>
      <c r="U493" s="17"/>
      <c r="V493" s="17"/>
      <c r="W493" s="17"/>
      <c r="X493" s="17"/>
      <c r="Y493" s="17"/>
      <c r="Z493" s="17"/>
      <c r="AA493" s="17"/>
      <c r="AB493" s="17"/>
      <c r="AC493" s="17"/>
      <c r="AD493" s="17"/>
    </row>
    <row r="494" spans="5:30" s="161" customFormat="1" x14ac:dyDescent="0.35">
      <c r="E494" s="17"/>
      <c r="F494" s="17"/>
      <c r="G494" s="17"/>
      <c r="H494" s="17"/>
      <c r="I494" s="17"/>
      <c r="J494" s="17"/>
      <c r="K494" s="17"/>
      <c r="L494" s="17"/>
      <c r="M494" s="17"/>
      <c r="N494" s="17"/>
      <c r="O494" s="17"/>
      <c r="P494" s="17"/>
      <c r="Q494" s="17"/>
      <c r="R494" s="17"/>
      <c r="S494" s="17"/>
      <c r="T494" s="17"/>
      <c r="U494" s="17"/>
      <c r="V494" s="17"/>
      <c r="W494" s="17"/>
      <c r="X494" s="17"/>
      <c r="Y494" s="17"/>
      <c r="Z494" s="17"/>
      <c r="AA494" s="17"/>
      <c r="AB494" s="17"/>
      <c r="AC494" s="17"/>
      <c r="AD494" s="17"/>
    </row>
    <row r="495" spans="5:30" s="161" customFormat="1" x14ac:dyDescent="0.35">
      <c r="E495" s="17"/>
      <c r="F495" s="17"/>
      <c r="G495" s="17"/>
      <c r="H495" s="17"/>
      <c r="I495" s="17"/>
      <c r="J495" s="17"/>
      <c r="K495" s="17"/>
      <c r="L495" s="17"/>
      <c r="M495" s="17"/>
      <c r="N495" s="17"/>
      <c r="O495" s="17"/>
      <c r="P495" s="17"/>
      <c r="Q495" s="17"/>
      <c r="R495" s="17"/>
      <c r="S495" s="17"/>
      <c r="T495" s="17"/>
      <c r="U495" s="17"/>
      <c r="V495" s="17"/>
      <c r="W495" s="17"/>
      <c r="X495" s="17"/>
      <c r="Y495" s="17"/>
      <c r="Z495" s="17"/>
      <c r="AA495" s="17"/>
      <c r="AB495" s="17"/>
      <c r="AC495" s="17"/>
      <c r="AD495" s="17"/>
    </row>
    <row r="496" spans="5:30" s="161" customFormat="1" x14ac:dyDescent="0.35">
      <c r="E496" s="17"/>
      <c r="F496" s="17"/>
      <c r="G496" s="17"/>
      <c r="H496" s="17"/>
      <c r="I496" s="17"/>
      <c r="J496" s="17"/>
      <c r="K496" s="17"/>
      <c r="L496" s="17"/>
      <c r="M496" s="17"/>
      <c r="N496" s="17"/>
      <c r="O496" s="17"/>
      <c r="P496" s="17"/>
      <c r="Q496" s="17"/>
      <c r="R496" s="17"/>
      <c r="S496" s="17"/>
      <c r="T496" s="17"/>
      <c r="U496" s="17"/>
      <c r="V496" s="17"/>
      <c r="W496" s="17"/>
      <c r="X496" s="17"/>
      <c r="Y496" s="17"/>
      <c r="Z496" s="17"/>
      <c r="AA496" s="17"/>
      <c r="AB496" s="17"/>
      <c r="AC496" s="17"/>
      <c r="AD496" s="17"/>
    </row>
    <row r="497" spans="5:30" s="161" customFormat="1" x14ac:dyDescent="0.35">
      <c r="E497" s="17"/>
      <c r="F497" s="17"/>
      <c r="G497" s="17"/>
      <c r="H497" s="17"/>
      <c r="I497" s="17"/>
      <c r="J497" s="17"/>
      <c r="K497" s="17"/>
      <c r="L497" s="17"/>
      <c r="M497" s="17"/>
      <c r="N497" s="17"/>
      <c r="O497" s="17"/>
      <c r="P497" s="17"/>
      <c r="Q497" s="17"/>
      <c r="R497" s="17"/>
      <c r="S497" s="17"/>
      <c r="T497" s="17"/>
      <c r="U497" s="17"/>
      <c r="V497" s="17"/>
      <c r="W497" s="17"/>
      <c r="X497" s="17"/>
      <c r="Y497" s="17"/>
      <c r="Z497" s="17"/>
      <c r="AA497" s="17"/>
      <c r="AB497" s="17"/>
      <c r="AC497" s="17"/>
      <c r="AD497" s="17"/>
    </row>
    <row r="498" spans="5:30" s="161" customFormat="1" x14ac:dyDescent="0.35">
      <c r="E498" s="17"/>
      <c r="F498" s="17"/>
      <c r="G498" s="17"/>
      <c r="H498" s="17"/>
      <c r="I498" s="17"/>
      <c r="J498" s="17"/>
      <c r="K498" s="17"/>
      <c r="L498" s="17"/>
      <c r="M498" s="17"/>
      <c r="N498" s="17"/>
      <c r="O498" s="17"/>
      <c r="P498" s="17"/>
      <c r="Q498" s="17"/>
      <c r="R498" s="17"/>
      <c r="S498" s="17"/>
      <c r="T498" s="17"/>
      <c r="U498" s="17"/>
      <c r="V498" s="17"/>
      <c r="W498" s="17"/>
      <c r="X498" s="17"/>
      <c r="Y498" s="17"/>
      <c r="Z498" s="17"/>
      <c r="AA498" s="17"/>
      <c r="AB498" s="17"/>
      <c r="AC498" s="17"/>
      <c r="AD498" s="17"/>
    </row>
    <row r="499" spans="5:30" s="161" customFormat="1" x14ac:dyDescent="0.35">
      <c r="E499" s="17"/>
      <c r="F499" s="17"/>
      <c r="G499" s="17"/>
      <c r="H499" s="17"/>
      <c r="I499" s="17"/>
      <c r="J499" s="17"/>
      <c r="K499" s="17"/>
      <c r="L499" s="17"/>
      <c r="M499" s="17"/>
      <c r="N499" s="17"/>
      <c r="O499" s="17"/>
      <c r="P499" s="17"/>
      <c r="Q499" s="17"/>
      <c r="R499" s="17"/>
      <c r="S499" s="17"/>
      <c r="T499" s="17"/>
      <c r="U499" s="17"/>
      <c r="V499" s="17"/>
      <c r="W499" s="17"/>
      <c r="X499" s="17"/>
      <c r="Y499" s="17"/>
      <c r="Z499" s="17"/>
      <c r="AA499" s="17"/>
      <c r="AB499" s="17"/>
      <c r="AC499" s="17"/>
      <c r="AD499" s="17"/>
    </row>
    <row r="500" spans="5:30" s="161" customFormat="1" x14ac:dyDescent="0.35">
      <c r="E500" s="17"/>
      <c r="F500" s="17"/>
      <c r="G500" s="17"/>
      <c r="H500" s="17"/>
      <c r="I500" s="17"/>
      <c r="J500" s="17"/>
      <c r="K500" s="17"/>
      <c r="L500" s="17"/>
      <c r="M500" s="17"/>
      <c r="N500" s="17"/>
      <c r="O500" s="17"/>
      <c r="P500" s="17"/>
      <c r="Q500" s="17"/>
      <c r="R500" s="17"/>
      <c r="S500" s="17"/>
      <c r="T500" s="17"/>
      <c r="U500" s="17"/>
      <c r="V500" s="17"/>
      <c r="W500" s="17"/>
      <c r="X500" s="17"/>
      <c r="Y500" s="17"/>
      <c r="Z500" s="17"/>
      <c r="AA500" s="17"/>
      <c r="AB500" s="17"/>
      <c r="AC500" s="17"/>
      <c r="AD500" s="17"/>
    </row>
    <row r="501" spans="5:30" s="161" customFormat="1" x14ac:dyDescent="0.35">
      <c r="E501" s="17"/>
      <c r="F501" s="17"/>
      <c r="G501" s="17"/>
      <c r="H501" s="17"/>
      <c r="I501" s="17"/>
      <c r="J501" s="17"/>
      <c r="K501" s="17"/>
      <c r="L501" s="17"/>
      <c r="M501" s="17"/>
      <c r="N501" s="17"/>
      <c r="O501" s="17"/>
      <c r="P501" s="17"/>
      <c r="Q501" s="17"/>
      <c r="R501" s="17"/>
      <c r="S501" s="17"/>
      <c r="T501" s="17"/>
      <c r="U501" s="17"/>
      <c r="V501" s="17"/>
      <c r="W501" s="17"/>
      <c r="X501" s="17"/>
      <c r="Y501" s="17"/>
      <c r="Z501" s="17"/>
      <c r="AA501" s="17"/>
      <c r="AB501" s="17"/>
      <c r="AC501" s="17"/>
      <c r="AD501" s="17"/>
    </row>
    <row r="502" spans="5:30" s="161" customFormat="1" x14ac:dyDescent="0.35">
      <c r="E502" s="17"/>
      <c r="F502" s="17"/>
      <c r="G502" s="17"/>
      <c r="H502" s="17"/>
      <c r="I502" s="17"/>
      <c r="J502" s="17"/>
      <c r="K502" s="17"/>
      <c r="L502" s="17"/>
      <c r="M502" s="17"/>
      <c r="N502" s="17"/>
      <c r="O502" s="17"/>
      <c r="P502" s="17"/>
      <c r="Q502" s="17"/>
      <c r="R502" s="17"/>
      <c r="S502" s="17"/>
      <c r="T502" s="17"/>
      <c r="U502" s="17"/>
      <c r="V502" s="17"/>
      <c r="W502" s="17"/>
      <c r="X502" s="17"/>
      <c r="Y502" s="17"/>
      <c r="Z502" s="17"/>
      <c r="AA502" s="17"/>
      <c r="AB502" s="17"/>
      <c r="AC502" s="17"/>
      <c r="AD502" s="17"/>
    </row>
    <row r="503" spans="5:30" s="161" customFormat="1" x14ac:dyDescent="0.35">
      <c r="E503" s="17"/>
      <c r="F503" s="17"/>
      <c r="G503" s="17"/>
      <c r="H503" s="17"/>
      <c r="I503" s="17"/>
      <c r="J503" s="17"/>
      <c r="K503" s="17"/>
      <c r="L503" s="17"/>
      <c r="M503" s="17"/>
      <c r="N503" s="17"/>
      <c r="O503" s="17"/>
      <c r="P503" s="17"/>
      <c r="Q503" s="17"/>
      <c r="R503" s="17"/>
      <c r="S503" s="17"/>
      <c r="T503" s="17"/>
      <c r="U503" s="17"/>
      <c r="V503" s="17"/>
      <c r="W503" s="17"/>
      <c r="X503" s="17"/>
      <c r="Y503" s="17"/>
      <c r="Z503" s="17"/>
      <c r="AA503" s="17"/>
      <c r="AB503" s="17"/>
      <c r="AC503" s="17"/>
      <c r="AD503" s="17"/>
    </row>
    <row r="504" spans="5:30" s="161" customFormat="1" x14ac:dyDescent="0.35">
      <c r="E504" s="17"/>
      <c r="F504" s="17"/>
      <c r="G504" s="17"/>
      <c r="H504" s="17"/>
      <c r="I504" s="17"/>
      <c r="J504" s="17"/>
      <c r="K504" s="17"/>
      <c r="L504" s="17"/>
      <c r="M504" s="17"/>
      <c r="N504" s="17"/>
      <c r="O504" s="17"/>
      <c r="P504" s="17"/>
      <c r="Q504" s="17"/>
      <c r="R504" s="17"/>
      <c r="S504" s="17"/>
      <c r="T504" s="17"/>
      <c r="U504" s="17"/>
      <c r="V504" s="17"/>
      <c r="W504" s="17"/>
      <c r="X504" s="17"/>
      <c r="Y504" s="17"/>
      <c r="Z504" s="17"/>
      <c r="AA504" s="17"/>
      <c r="AB504" s="17"/>
      <c r="AC504" s="17"/>
      <c r="AD504" s="17"/>
    </row>
    <row r="505" spans="5:30" s="161" customFormat="1" x14ac:dyDescent="0.35">
      <c r="E505" s="17"/>
      <c r="F505" s="17"/>
      <c r="G505" s="17"/>
      <c r="H505" s="17"/>
      <c r="I505" s="17"/>
      <c r="J505" s="17"/>
      <c r="K505" s="17"/>
      <c r="L505" s="17"/>
      <c r="M505" s="17"/>
      <c r="N505" s="17"/>
      <c r="O505" s="17"/>
      <c r="P505" s="17"/>
      <c r="Q505" s="17"/>
      <c r="R505" s="17"/>
      <c r="S505" s="17"/>
      <c r="T505" s="17"/>
      <c r="U505" s="17"/>
      <c r="V505" s="17"/>
      <c r="W505" s="17"/>
      <c r="X505" s="17"/>
      <c r="Y505" s="17"/>
      <c r="Z505" s="17"/>
      <c r="AA505" s="17"/>
      <c r="AB505" s="17"/>
      <c r="AC505" s="17"/>
      <c r="AD505" s="17"/>
    </row>
    <row r="506" spans="5:30" s="161" customFormat="1" x14ac:dyDescent="0.35">
      <c r="E506" s="17"/>
      <c r="F506" s="17"/>
      <c r="G506" s="17"/>
      <c r="H506" s="17"/>
      <c r="I506" s="17"/>
      <c r="J506" s="17"/>
      <c r="K506" s="17"/>
      <c r="L506" s="17"/>
      <c r="M506" s="17"/>
      <c r="N506" s="17"/>
      <c r="O506" s="17"/>
      <c r="P506" s="17"/>
      <c r="Q506" s="17"/>
      <c r="R506" s="17"/>
      <c r="S506" s="17"/>
      <c r="T506" s="17"/>
      <c r="U506" s="17"/>
      <c r="V506" s="17"/>
      <c r="W506" s="17"/>
      <c r="X506" s="17"/>
      <c r="Y506" s="17"/>
      <c r="Z506" s="17"/>
      <c r="AA506" s="17"/>
      <c r="AB506" s="17"/>
      <c r="AC506" s="17"/>
      <c r="AD506" s="17"/>
    </row>
    <row r="507" spans="5:30" s="161" customFormat="1" x14ac:dyDescent="0.35">
      <c r="E507" s="17"/>
      <c r="F507" s="17"/>
      <c r="G507" s="17"/>
      <c r="H507" s="17"/>
      <c r="I507" s="17"/>
      <c r="J507" s="17"/>
      <c r="K507" s="17"/>
      <c r="L507" s="17"/>
      <c r="M507" s="17"/>
      <c r="N507" s="17"/>
      <c r="O507" s="17"/>
      <c r="P507" s="17"/>
      <c r="Q507" s="17"/>
      <c r="R507" s="17"/>
      <c r="S507" s="17"/>
      <c r="T507" s="17"/>
      <c r="U507" s="17"/>
      <c r="V507" s="17"/>
      <c r="W507" s="17"/>
      <c r="X507" s="17"/>
      <c r="Y507" s="17"/>
      <c r="Z507" s="17"/>
      <c r="AA507" s="17"/>
      <c r="AB507" s="17"/>
      <c r="AC507" s="17"/>
      <c r="AD507" s="17"/>
    </row>
    <row r="508" spans="5:30" s="161" customFormat="1" x14ac:dyDescent="0.35">
      <c r="E508" s="17"/>
      <c r="F508" s="17"/>
      <c r="G508" s="17"/>
      <c r="H508" s="17"/>
      <c r="I508" s="17"/>
      <c r="J508" s="17"/>
      <c r="K508" s="17"/>
      <c r="L508" s="17"/>
      <c r="M508" s="17"/>
      <c r="N508" s="17"/>
      <c r="O508" s="17"/>
      <c r="P508" s="17"/>
      <c r="Q508" s="17"/>
      <c r="R508" s="17"/>
      <c r="S508" s="17"/>
      <c r="T508" s="17"/>
      <c r="U508" s="17"/>
      <c r="V508" s="17"/>
      <c r="W508" s="17"/>
      <c r="X508" s="17"/>
      <c r="Y508" s="17"/>
      <c r="Z508" s="17"/>
      <c r="AA508" s="17"/>
      <c r="AB508" s="17"/>
      <c r="AC508" s="17"/>
      <c r="AD508" s="17"/>
    </row>
    <row r="509" spans="5:30" s="161" customFormat="1" x14ac:dyDescent="0.35">
      <c r="E509" s="17"/>
      <c r="F509" s="17"/>
      <c r="G509" s="17"/>
      <c r="H509" s="17"/>
      <c r="I509" s="17"/>
      <c r="J509" s="17"/>
      <c r="K509" s="17"/>
      <c r="L509" s="17"/>
      <c r="M509" s="17"/>
      <c r="N509" s="17"/>
      <c r="O509" s="17"/>
      <c r="P509" s="17"/>
      <c r="Q509" s="17"/>
      <c r="R509" s="17"/>
      <c r="S509" s="17"/>
      <c r="T509" s="17"/>
      <c r="U509" s="17"/>
      <c r="V509" s="17"/>
      <c r="W509" s="17"/>
      <c r="X509" s="17"/>
      <c r="Y509" s="17"/>
      <c r="Z509" s="17"/>
      <c r="AA509" s="17"/>
      <c r="AB509" s="17"/>
      <c r="AC509" s="17"/>
      <c r="AD509" s="17"/>
    </row>
    <row r="510" spans="5:30" s="161" customFormat="1" x14ac:dyDescent="0.35">
      <c r="E510" s="17"/>
      <c r="F510" s="17"/>
      <c r="G510" s="17"/>
      <c r="H510" s="17"/>
      <c r="I510" s="17"/>
      <c r="J510" s="17"/>
      <c r="K510" s="17"/>
      <c r="L510" s="17"/>
      <c r="M510" s="17"/>
      <c r="N510" s="17"/>
      <c r="O510" s="17"/>
      <c r="P510" s="17"/>
      <c r="Q510" s="17"/>
      <c r="R510" s="17"/>
      <c r="S510" s="17"/>
      <c r="T510" s="17"/>
      <c r="U510" s="17"/>
      <c r="V510" s="17"/>
      <c r="W510" s="17"/>
      <c r="X510" s="17"/>
      <c r="Y510" s="17"/>
      <c r="Z510" s="17"/>
      <c r="AA510" s="17"/>
      <c r="AB510" s="17"/>
      <c r="AC510" s="17"/>
      <c r="AD510" s="17"/>
    </row>
    <row r="511" spans="5:30" s="161" customFormat="1" x14ac:dyDescent="0.35">
      <c r="E511" s="17"/>
      <c r="F511" s="17"/>
      <c r="G511" s="17"/>
      <c r="H511" s="17"/>
      <c r="I511" s="17"/>
      <c r="J511" s="17"/>
      <c r="K511" s="17"/>
      <c r="L511" s="17"/>
      <c r="M511" s="17"/>
      <c r="N511" s="17"/>
      <c r="O511" s="17"/>
      <c r="P511" s="17"/>
      <c r="Q511" s="17"/>
      <c r="R511" s="17"/>
      <c r="S511" s="17"/>
      <c r="T511" s="17"/>
      <c r="U511" s="17"/>
      <c r="V511" s="17"/>
      <c r="W511" s="17"/>
      <c r="X511" s="17"/>
      <c r="Y511" s="17"/>
      <c r="Z511" s="17"/>
      <c r="AA511" s="17"/>
      <c r="AB511" s="17"/>
      <c r="AC511" s="17"/>
      <c r="AD511" s="17"/>
    </row>
    <row r="512" spans="5:30" s="161" customFormat="1" x14ac:dyDescent="0.35">
      <c r="E512" s="17"/>
      <c r="F512" s="17"/>
      <c r="G512" s="17"/>
      <c r="H512" s="17"/>
      <c r="I512" s="17"/>
      <c r="J512" s="17"/>
      <c r="K512" s="17"/>
      <c r="L512" s="17"/>
      <c r="M512" s="17"/>
      <c r="N512" s="17"/>
      <c r="O512" s="17"/>
      <c r="P512" s="17"/>
      <c r="Q512" s="17"/>
      <c r="R512" s="17"/>
      <c r="S512" s="17"/>
      <c r="T512" s="17"/>
      <c r="U512" s="17"/>
      <c r="V512" s="17"/>
      <c r="W512" s="17"/>
      <c r="X512" s="17"/>
      <c r="Y512" s="17"/>
      <c r="Z512" s="17"/>
      <c r="AA512" s="17"/>
      <c r="AB512" s="17"/>
      <c r="AC512" s="17"/>
      <c r="AD512" s="17"/>
    </row>
    <row r="513" spans="5:30" s="161" customFormat="1" x14ac:dyDescent="0.35">
      <c r="E513" s="17"/>
      <c r="F513" s="17"/>
      <c r="G513" s="17"/>
      <c r="H513" s="17"/>
      <c r="I513" s="17"/>
      <c r="J513" s="17"/>
      <c r="K513" s="17"/>
      <c r="L513" s="17"/>
      <c r="M513" s="17"/>
      <c r="N513" s="17"/>
      <c r="O513" s="17"/>
      <c r="P513" s="17"/>
      <c r="Q513" s="17"/>
      <c r="R513" s="17"/>
      <c r="S513" s="17"/>
      <c r="T513" s="17"/>
      <c r="U513" s="17"/>
      <c r="V513" s="17"/>
      <c r="W513" s="17"/>
      <c r="X513" s="17"/>
      <c r="Y513" s="17"/>
      <c r="Z513" s="17"/>
      <c r="AA513" s="17"/>
      <c r="AB513" s="17"/>
      <c r="AC513" s="17"/>
      <c r="AD513" s="17"/>
    </row>
    <row r="514" spans="5:30" s="161" customFormat="1" x14ac:dyDescent="0.35">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row>
    <row r="515" spans="5:30" s="161" customFormat="1" x14ac:dyDescent="0.35">
      <c r="E515" s="17"/>
      <c r="F515" s="17"/>
      <c r="G515" s="17"/>
      <c r="H515" s="17"/>
      <c r="I515" s="17"/>
      <c r="J515" s="17"/>
      <c r="K515" s="17"/>
      <c r="L515" s="17"/>
      <c r="M515" s="17"/>
      <c r="N515" s="17"/>
      <c r="O515" s="17"/>
      <c r="P515" s="17"/>
      <c r="Q515" s="17"/>
      <c r="R515" s="17"/>
      <c r="S515" s="17"/>
      <c r="T515" s="17"/>
      <c r="U515" s="17"/>
      <c r="V515" s="17"/>
      <c r="W515" s="17"/>
      <c r="X515" s="17"/>
      <c r="Y515" s="17"/>
      <c r="Z515" s="17"/>
      <c r="AA515" s="17"/>
      <c r="AB515" s="17"/>
      <c r="AC515" s="17"/>
      <c r="AD515" s="17"/>
    </row>
    <row r="516" spans="5:30" s="161" customFormat="1" x14ac:dyDescent="0.35">
      <c r="E516" s="17"/>
      <c r="F516" s="17"/>
      <c r="G516" s="17"/>
      <c r="H516" s="17"/>
      <c r="I516" s="17"/>
      <c r="J516" s="17"/>
      <c r="K516" s="17"/>
      <c r="L516" s="17"/>
      <c r="M516" s="17"/>
      <c r="N516" s="17"/>
      <c r="O516" s="17"/>
      <c r="P516" s="17"/>
      <c r="Q516" s="17"/>
      <c r="R516" s="17"/>
      <c r="S516" s="17"/>
      <c r="T516" s="17"/>
      <c r="U516" s="17"/>
      <c r="V516" s="17"/>
      <c r="W516" s="17"/>
      <c r="X516" s="17"/>
      <c r="Y516" s="17"/>
      <c r="Z516" s="17"/>
      <c r="AA516" s="17"/>
      <c r="AB516" s="17"/>
      <c r="AC516" s="17"/>
      <c r="AD516" s="17"/>
    </row>
    <row r="517" spans="5:30" s="161" customFormat="1" x14ac:dyDescent="0.35">
      <c r="E517" s="17"/>
      <c r="F517" s="17"/>
      <c r="G517" s="17"/>
      <c r="H517" s="17"/>
      <c r="I517" s="17"/>
      <c r="J517" s="17"/>
      <c r="K517" s="17"/>
      <c r="L517" s="17"/>
      <c r="M517" s="17"/>
      <c r="N517" s="17"/>
      <c r="O517" s="17"/>
      <c r="P517" s="17"/>
      <c r="Q517" s="17"/>
      <c r="R517" s="17"/>
      <c r="S517" s="17"/>
      <c r="T517" s="17"/>
      <c r="U517" s="17"/>
      <c r="V517" s="17"/>
      <c r="W517" s="17"/>
      <c r="X517" s="17"/>
      <c r="Y517" s="17"/>
      <c r="Z517" s="17"/>
      <c r="AA517" s="17"/>
      <c r="AB517" s="17"/>
      <c r="AC517" s="17"/>
      <c r="AD517" s="17"/>
    </row>
    <row r="518" spans="5:30" s="161" customFormat="1" x14ac:dyDescent="0.35">
      <c r="E518" s="17"/>
      <c r="F518" s="17"/>
      <c r="G518" s="17"/>
      <c r="H518" s="17"/>
      <c r="I518" s="17"/>
      <c r="J518" s="17"/>
      <c r="K518" s="17"/>
      <c r="L518" s="17"/>
      <c r="M518" s="17"/>
      <c r="N518" s="17"/>
      <c r="O518" s="17"/>
      <c r="P518" s="17"/>
      <c r="Q518" s="17"/>
      <c r="R518" s="17"/>
      <c r="S518" s="17"/>
      <c r="T518" s="17"/>
      <c r="U518" s="17"/>
      <c r="V518" s="17"/>
      <c r="W518" s="17"/>
      <c r="X518" s="17"/>
      <c r="Y518" s="17"/>
      <c r="Z518" s="17"/>
      <c r="AA518" s="17"/>
      <c r="AB518" s="17"/>
      <c r="AC518" s="17"/>
      <c r="AD518" s="17"/>
    </row>
    <row r="519" spans="5:30" s="161" customFormat="1" x14ac:dyDescent="0.35">
      <c r="E519" s="17"/>
      <c r="F519" s="17"/>
      <c r="G519" s="17"/>
      <c r="H519" s="17"/>
      <c r="I519" s="17"/>
      <c r="J519" s="17"/>
      <c r="K519" s="17"/>
      <c r="L519" s="17"/>
      <c r="M519" s="17"/>
      <c r="N519" s="17"/>
      <c r="O519" s="17"/>
      <c r="P519" s="17"/>
      <c r="Q519" s="17"/>
      <c r="R519" s="17"/>
      <c r="S519" s="17"/>
      <c r="T519" s="17"/>
      <c r="U519" s="17"/>
      <c r="V519" s="17"/>
      <c r="W519" s="17"/>
      <c r="X519" s="17"/>
      <c r="Y519" s="17"/>
      <c r="Z519" s="17"/>
      <c r="AA519" s="17"/>
      <c r="AB519" s="17"/>
      <c r="AC519" s="17"/>
      <c r="AD519" s="17"/>
    </row>
    <row r="520" spans="5:30" s="161" customFormat="1" x14ac:dyDescent="0.35">
      <c r="E520" s="17"/>
      <c r="F520" s="17"/>
      <c r="G520" s="17"/>
      <c r="H520" s="17"/>
      <c r="I520" s="17"/>
      <c r="J520" s="17"/>
      <c r="K520" s="17"/>
      <c r="L520" s="17"/>
      <c r="M520" s="17"/>
      <c r="N520" s="17"/>
      <c r="O520" s="17"/>
      <c r="P520" s="17"/>
      <c r="Q520" s="17"/>
      <c r="R520" s="17"/>
      <c r="S520" s="17"/>
      <c r="T520" s="17"/>
      <c r="U520" s="17"/>
      <c r="V520" s="17"/>
      <c r="W520" s="17"/>
      <c r="X520" s="17"/>
      <c r="Y520" s="17"/>
      <c r="Z520" s="17"/>
      <c r="AA520" s="17"/>
      <c r="AB520" s="17"/>
      <c r="AC520" s="17"/>
      <c r="AD520" s="17"/>
    </row>
    <row r="521" spans="5:30" s="161" customFormat="1" x14ac:dyDescent="0.35">
      <c r="E521" s="17"/>
      <c r="F521" s="17"/>
      <c r="G521" s="17"/>
      <c r="H521" s="17"/>
      <c r="I521" s="17"/>
      <c r="J521" s="17"/>
      <c r="K521" s="17"/>
      <c r="L521" s="17"/>
      <c r="M521" s="17"/>
      <c r="N521" s="17"/>
      <c r="O521" s="17"/>
      <c r="P521" s="17"/>
      <c r="Q521" s="17"/>
      <c r="R521" s="17"/>
      <c r="S521" s="17"/>
      <c r="T521" s="17"/>
      <c r="U521" s="17"/>
      <c r="V521" s="17"/>
      <c r="W521" s="17"/>
      <c r="X521" s="17"/>
      <c r="Y521" s="17"/>
      <c r="Z521" s="17"/>
      <c r="AA521" s="17"/>
      <c r="AB521" s="17"/>
      <c r="AC521" s="17"/>
      <c r="AD521" s="17"/>
    </row>
    <row r="522" spans="5:30" s="161" customFormat="1" x14ac:dyDescent="0.35">
      <c r="E522" s="17"/>
      <c r="F522" s="17"/>
      <c r="G522" s="17"/>
      <c r="H522" s="17"/>
      <c r="I522" s="17"/>
      <c r="J522" s="17"/>
      <c r="K522" s="17"/>
      <c r="L522" s="17"/>
      <c r="M522" s="17"/>
      <c r="N522" s="17"/>
      <c r="O522" s="17"/>
      <c r="P522" s="17"/>
      <c r="Q522" s="17"/>
      <c r="R522" s="17"/>
      <c r="S522" s="17"/>
      <c r="T522" s="17"/>
      <c r="U522" s="17"/>
      <c r="V522" s="17"/>
      <c r="W522" s="17"/>
      <c r="X522" s="17"/>
      <c r="Y522" s="17"/>
      <c r="Z522" s="17"/>
      <c r="AA522" s="17"/>
      <c r="AB522" s="17"/>
      <c r="AC522" s="17"/>
      <c r="AD522" s="17"/>
    </row>
    <row r="523" spans="5:30" s="161" customFormat="1" x14ac:dyDescent="0.35">
      <c r="E523" s="17"/>
      <c r="F523" s="17"/>
      <c r="G523" s="17"/>
      <c r="H523" s="17"/>
      <c r="I523" s="17"/>
      <c r="J523" s="17"/>
      <c r="K523" s="17"/>
      <c r="L523" s="17"/>
      <c r="M523" s="17"/>
      <c r="N523" s="17"/>
      <c r="O523" s="17"/>
      <c r="P523" s="17"/>
      <c r="Q523" s="17"/>
      <c r="R523" s="17"/>
      <c r="S523" s="17"/>
      <c r="T523" s="17"/>
      <c r="U523" s="17"/>
      <c r="V523" s="17"/>
      <c r="W523" s="17"/>
      <c r="X523" s="17"/>
      <c r="Y523" s="17"/>
      <c r="Z523" s="17"/>
      <c r="AA523" s="17"/>
      <c r="AB523" s="17"/>
      <c r="AC523" s="17"/>
      <c r="AD523" s="17"/>
    </row>
    <row r="524" spans="5:30" s="161" customFormat="1" x14ac:dyDescent="0.35">
      <c r="E524" s="17"/>
      <c r="F524" s="17"/>
      <c r="G524" s="17"/>
      <c r="H524" s="17"/>
      <c r="I524" s="17"/>
      <c r="J524" s="17"/>
      <c r="K524" s="17"/>
      <c r="L524" s="17"/>
      <c r="M524" s="17"/>
      <c r="N524" s="17"/>
      <c r="O524" s="17"/>
      <c r="P524" s="17"/>
      <c r="Q524" s="17"/>
      <c r="R524" s="17"/>
      <c r="S524" s="17"/>
      <c r="T524" s="17"/>
      <c r="U524" s="17"/>
      <c r="V524" s="17"/>
      <c r="W524" s="17"/>
      <c r="X524" s="17"/>
      <c r="Y524" s="17"/>
      <c r="Z524" s="17"/>
      <c r="AA524" s="17"/>
      <c r="AB524" s="17"/>
      <c r="AC524" s="17"/>
      <c r="AD524" s="17"/>
    </row>
    <row r="525" spans="5:30" s="161" customFormat="1" x14ac:dyDescent="0.35">
      <c r="E525" s="17"/>
      <c r="F525" s="17"/>
      <c r="G525" s="17"/>
      <c r="H525" s="17"/>
      <c r="I525" s="17"/>
      <c r="J525" s="17"/>
      <c r="K525" s="17"/>
      <c r="L525" s="17"/>
      <c r="M525" s="17"/>
      <c r="N525" s="17"/>
      <c r="O525" s="17"/>
      <c r="P525" s="17"/>
      <c r="Q525" s="17"/>
      <c r="R525" s="17"/>
      <c r="S525" s="17"/>
      <c r="T525" s="17"/>
      <c r="U525" s="17"/>
      <c r="V525" s="17"/>
      <c r="W525" s="17"/>
      <c r="X525" s="17"/>
      <c r="Y525" s="17"/>
      <c r="Z525" s="17"/>
      <c r="AA525" s="17"/>
      <c r="AB525" s="17"/>
      <c r="AC525" s="17"/>
      <c r="AD525" s="17"/>
    </row>
    <row r="526" spans="5:30" s="161" customFormat="1" x14ac:dyDescent="0.35">
      <c r="E526" s="17"/>
      <c r="F526" s="17"/>
      <c r="G526" s="17"/>
      <c r="H526" s="17"/>
      <c r="I526" s="17"/>
      <c r="J526" s="17"/>
      <c r="K526" s="17"/>
      <c r="L526" s="17"/>
      <c r="M526" s="17"/>
      <c r="N526" s="17"/>
      <c r="O526" s="17"/>
      <c r="P526" s="17"/>
      <c r="Q526" s="17"/>
      <c r="R526" s="17"/>
      <c r="S526" s="17"/>
      <c r="T526" s="17"/>
      <c r="U526" s="17"/>
      <c r="V526" s="17"/>
      <c r="W526" s="17"/>
      <c r="X526" s="17"/>
      <c r="Y526" s="17"/>
      <c r="Z526" s="17"/>
      <c r="AA526" s="17"/>
      <c r="AB526" s="17"/>
      <c r="AC526" s="17"/>
      <c r="AD526" s="17"/>
    </row>
    <row r="527" spans="5:30" s="161" customFormat="1" x14ac:dyDescent="0.35">
      <c r="E527" s="17"/>
      <c r="F527" s="17"/>
      <c r="G527" s="17"/>
      <c r="H527" s="17"/>
      <c r="I527" s="17"/>
      <c r="J527" s="17"/>
      <c r="K527" s="17"/>
      <c r="L527" s="17"/>
      <c r="M527" s="17"/>
      <c r="N527" s="17"/>
      <c r="O527" s="17"/>
      <c r="P527" s="17"/>
      <c r="Q527" s="17"/>
      <c r="R527" s="17"/>
      <c r="S527" s="17"/>
      <c r="T527" s="17"/>
      <c r="U527" s="17"/>
      <c r="V527" s="17"/>
      <c r="W527" s="17"/>
      <c r="X527" s="17"/>
      <c r="Y527" s="17"/>
      <c r="Z527" s="17"/>
      <c r="AA527" s="17"/>
      <c r="AB527" s="17"/>
      <c r="AC527" s="17"/>
      <c r="AD527" s="17"/>
    </row>
    <row r="528" spans="5:30" s="161" customFormat="1" x14ac:dyDescent="0.35">
      <c r="E528" s="17"/>
      <c r="F528" s="17"/>
      <c r="G528" s="17"/>
      <c r="H528" s="17"/>
      <c r="I528" s="17"/>
      <c r="J528" s="17"/>
      <c r="K528" s="17"/>
      <c r="L528" s="17"/>
      <c r="M528" s="17"/>
      <c r="N528" s="17"/>
      <c r="O528" s="17"/>
      <c r="P528" s="17"/>
      <c r="Q528" s="17"/>
      <c r="R528" s="17"/>
      <c r="S528" s="17"/>
      <c r="T528" s="17"/>
      <c r="U528" s="17"/>
      <c r="V528" s="17"/>
      <c r="W528" s="17"/>
      <c r="X528" s="17"/>
      <c r="Y528" s="17"/>
      <c r="Z528" s="17"/>
      <c r="AA528" s="17"/>
      <c r="AB528" s="17"/>
      <c r="AC528" s="17"/>
      <c r="AD528" s="17"/>
    </row>
    <row r="529" spans="5:30" s="161" customFormat="1" x14ac:dyDescent="0.35">
      <c r="E529" s="17"/>
      <c r="F529" s="17"/>
      <c r="G529" s="17"/>
      <c r="H529" s="17"/>
      <c r="I529" s="17"/>
      <c r="J529" s="17"/>
      <c r="K529" s="17"/>
      <c r="L529" s="17"/>
      <c r="M529" s="17"/>
      <c r="N529" s="17"/>
      <c r="O529" s="17"/>
      <c r="P529" s="17"/>
      <c r="Q529" s="17"/>
      <c r="R529" s="17"/>
      <c r="S529" s="17"/>
      <c r="T529" s="17"/>
      <c r="U529" s="17"/>
      <c r="V529" s="17"/>
      <c r="W529" s="17"/>
      <c r="X529" s="17"/>
      <c r="Y529" s="17"/>
      <c r="Z529" s="17"/>
      <c r="AA529" s="17"/>
      <c r="AB529" s="17"/>
      <c r="AC529" s="17"/>
      <c r="AD529" s="17"/>
    </row>
    <row r="530" spans="5:30" s="161" customFormat="1" x14ac:dyDescent="0.35">
      <c r="E530" s="17"/>
      <c r="F530" s="17"/>
      <c r="G530" s="17"/>
      <c r="H530" s="17"/>
      <c r="I530" s="17"/>
      <c r="J530" s="17"/>
      <c r="K530" s="17"/>
      <c r="L530" s="17"/>
      <c r="M530" s="17"/>
      <c r="N530" s="17"/>
      <c r="O530" s="17"/>
      <c r="P530" s="17"/>
      <c r="Q530" s="17"/>
      <c r="R530" s="17"/>
      <c r="S530" s="17"/>
      <c r="T530" s="17"/>
      <c r="U530" s="17"/>
      <c r="V530" s="17"/>
      <c r="W530" s="17"/>
      <c r="X530" s="17"/>
      <c r="Y530" s="17"/>
      <c r="Z530" s="17"/>
      <c r="AA530" s="17"/>
      <c r="AB530" s="17"/>
      <c r="AC530" s="17"/>
      <c r="AD530" s="17"/>
    </row>
    <row r="531" spans="5:30" s="161" customFormat="1" x14ac:dyDescent="0.35">
      <c r="E531" s="17"/>
      <c r="F531" s="17"/>
      <c r="G531" s="17"/>
      <c r="H531" s="17"/>
      <c r="I531" s="17"/>
      <c r="J531" s="17"/>
      <c r="K531" s="17"/>
      <c r="L531" s="17"/>
      <c r="M531" s="17"/>
      <c r="N531" s="17"/>
      <c r="O531" s="17"/>
      <c r="P531" s="17"/>
      <c r="Q531" s="17"/>
      <c r="R531" s="17"/>
      <c r="S531" s="17"/>
      <c r="T531" s="17"/>
      <c r="U531" s="17"/>
      <c r="V531" s="17"/>
      <c r="W531" s="17"/>
      <c r="X531" s="17"/>
      <c r="Y531" s="17"/>
      <c r="Z531" s="17"/>
      <c r="AA531" s="17"/>
      <c r="AB531" s="17"/>
      <c r="AC531" s="17"/>
      <c r="AD531" s="17"/>
    </row>
    <row r="532" spans="5:30" s="161" customFormat="1" x14ac:dyDescent="0.35">
      <c r="E532" s="17"/>
      <c r="F532" s="17"/>
      <c r="G532" s="17"/>
      <c r="H532" s="17"/>
      <c r="I532" s="17"/>
      <c r="J532" s="17"/>
      <c r="K532" s="17"/>
      <c r="L532" s="17"/>
      <c r="M532" s="17"/>
      <c r="N532" s="17"/>
      <c r="O532" s="17"/>
      <c r="P532" s="17"/>
      <c r="Q532" s="17"/>
      <c r="R532" s="17"/>
      <c r="S532" s="17"/>
      <c r="T532" s="17"/>
      <c r="U532" s="17"/>
      <c r="V532" s="17"/>
      <c r="W532" s="17"/>
      <c r="X532" s="17"/>
      <c r="Y532" s="17"/>
      <c r="Z532" s="17"/>
      <c r="AA532" s="17"/>
      <c r="AB532" s="17"/>
      <c r="AC532" s="17"/>
      <c r="AD532" s="17"/>
    </row>
  </sheetData>
  <sheetProtection algorithmName="SHA-512" hashValue="JMsM6Ddh6w5GOzLZ0HX4HryhsQ+FsQE9NSncAKVXZK9qDDUKIlCD/B7dG630l0/WTbqnu3655dYr+jtqqHVKvQ==" saltValue="Uk1r5KDbSyHWVDudgEAb9A==" spinCount="100000" sheet="1" objects="1" scenarios="1" selectLockedCells="1"/>
  <sortState xmlns:xlrd2="http://schemas.microsoft.com/office/spreadsheetml/2017/richdata2" ref="A279:B370">
    <sortCondition ref="A279:A370"/>
  </sortState>
  <mergeCells count="11">
    <mergeCell ref="A7:A8"/>
    <mergeCell ref="C69:D69"/>
    <mergeCell ref="E69:F69"/>
    <mergeCell ref="E12:F13"/>
    <mergeCell ref="E11:F11"/>
    <mergeCell ref="A22:M22"/>
    <mergeCell ref="L69:M69"/>
    <mergeCell ref="G69:H69"/>
    <mergeCell ref="I69:K69"/>
    <mergeCell ref="E14:F14"/>
    <mergeCell ref="E15:F15"/>
  </mergeCells>
  <dataValidations count="1">
    <dataValidation type="list" allowBlank="1" showInputMessage="1" showErrorMessage="1" sqref="B8:C8" xr:uid="{0FBBF3B7-7274-44E9-AE17-26FB15D2041E}">
      <formula1>$A$279:$A$385</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5"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3EDE-25E1-4F68-B6BE-96D3B3A58C9D}">
  <dimension ref="A1:AD416"/>
  <sheetViews>
    <sheetView workbookViewId="0">
      <selection activeCell="F7" sqref="F7"/>
    </sheetView>
  </sheetViews>
  <sheetFormatPr baseColWidth="10" defaultRowHeight="14.5" x14ac:dyDescent="0.35"/>
  <cols>
    <col min="1" max="1" width="20.453125" customWidth="1"/>
    <col min="2" max="4" width="22.7265625" customWidth="1"/>
    <col min="5" max="7" width="22.7265625" style="1" customWidth="1"/>
    <col min="8" max="8" width="20.7265625" style="1" customWidth="1"/>
    <col min="9" max="9" width="19.7265625" style="1" customWidth="1"/>
    <col min="10" max="10" width="21.453125" style="1" customWidth="1"/>
    <col min="11" max="11" width="14.7265625" style="1" customWidth="1"/>
    <col min="12" max="12" width="17.453125" style="1" customWidth="1"/>
    <col min="13" max="13" width="17.81640625" style="1" bestFit="1" customWidth="1"/>
    <col min="14" max="14" width="11.54296875" style="1" customWidth="1"/>
    <col min="15" max="30" width="11.453125" style="1"/>
  </cols>
  <sheetData>
    <row r="1" spans="1:30" s="1" customFormat="1" x14ac:dyDescent="0.35"/>
    <row r="2" spans="1:30" s="1" customFormat="1" x14ac:dyDescent="0.35"/>
    <row r="3" spans="1:30" s="1" customFormat="1" ht="15.5" x14ac:dyDescent="0.35">
      <c r="L3" s="3" t="s">
        <v>183</v>
      </c>
    </row>
    <row r="4" spans="1:30" s="1" customFormat="1" x14ac:dyDescent="0.35"/>
    <row r="5" spans="1:30" s="1" customFormat="1" x14ac:dyDescent="0.35"/>
    <row r="6" spans="1:30" s="1" customFormat="1" x14ac:dyDescent="0.35"/>
    <row r="7" spans="1:30" s="1" customFormat="1" ht="21" x14ac:dyDescent="0.5">
      <c r="A7" s="347" t="s">
        <v>25</v>
      </c>
      <c r="B7" s="195" t="s">
        <v>163</v>
      </c>
      <c r="C7" s="197" t="s">
        <v>164</v>
      </c>
      <c r="E7" s="41" t="s">
        <v>184</v>
      </c>
      <c r="F7" s="42">
        <v>100</v>
      </c>
    </row>
    <row r="8" spans="1:30" x14ac:dyDescent="0.35">
      <c r="A8" s="348"/>
      <c r="B8" s="199" t="s">
        <v>217</v>
      </c>
      <c r="C8" s="200" t="s">
        <v>153</v>
      </c>
      <c r="D8" s="1"/>
      <c r="AA8"/>
      <c r="AB8"/>
      <c r="AC8"/>
      <c r="AD8"/>
    </row>
    <row r="9" spans="1:30" x14ac:dyDescent="0.35">
      <c r="A9" s="127" t="s">
        <v>80</v>
      </c>
      <c r="B9" s="120" t="str">
        <f>VLOOKUP(B8,'MTX CARAC'!$A$4:$O$122,12,0)</f>
        <v>Renta variable</v>
      </c>
      <c r="C9" s="110" t="str">
        <f>VLOOKUP(C8,'MTX CARAC'!$A$4:$O$122,12,0)</f>
        <v>Deuda</v>
      </c>
      <c r="D9" s="1"/>
      <c r="AA9"/>
      <c r="AB9"/>
      <c r="AC9"/>
      <c r="AD9"/>
    </row>
    <row r="10" spans="1:30" ht="30" customHeight="1" x14ac:dyDescent="0.35">
      <c r="A10" s="128" t="s">
        <v>133</v>
      </c>
      <c r="B10" s="120" t="str">
        <f>VLOOKUP($B8,'MTX CARAC'!$A$4:$P$123,13,0)</f>
        <v>Especializado en Renta Variable</v>
      </c>
      <c r="C10" s="110" t="str">
        <f>VLOOKUP(C8,'MTX CARAC'!$A$4:$P$123,13,0)</f>
        <v>Corto Plazo Gubernamental</v>
      </c>
      <c r="D10" s="1"/>
      <c r="E10" s="1" t="s">
        <v>274</v>
      </c>
      <c r="AA10"/>
      <c r="AB10"/>
      <c r="AC10"/>
      <c r="AD10"/>
    </row>
    <row r="11" spans="1:30" ht="120" customHeight="1" x14ac:dyDescent="0.35">
      <c r="A11" s="129" t="s">
        <v>26</v>
      </c>
      <c r="B11" s="120" t="str">
        <f>VLOOKUP(B8,'MTX CARAC'!$A$2:$L$123,2,FALSE)</f>
        <v>NASDAQ 100</v>
      </c>
      <c r="C11" s="110" t="str">
        <f>VLOOKUP(C8,'MTX CARAC'!$A$2:$L$123,2,FALSE)</f>
        <v>Deuda</v>
      </c>
      <c r="D11" s="1"/>
      <c r="E11" s="351" t="s">
        <v>260</v>
      </c>
      <c r="F11" s="352"/>
      <c r="G11" s="123" t="s">
        <v>273</v>
      </c>
      <c r="H11" s="96" t="s">
        <v>254</v>
      </c>
      <c r="I11" s="96" t="s">
        <v>255</v>
      </c>
      <c r="J11" s="96" t="s">
        <v>256</v>
      </c>
      <c r="K11" s="96" t="s">
        <v>257</v>
      </c>
      <c r="L11" s="102" t="str">
        <f>+'36 MESES'!L11</f>
        <v>MÁXIMO EN ÚLTIMO AÑO CALENDARIO (2024)</v>
      </c>
      <c r="M11" s="102" t="str">
        <f>+'36 MESES'!M11</f>
        <v>MÍNIMO EN ÚLTIMO AÑO CALENDARIO (2024)</v>
      </c>
      <c r="AA11"/>
      <c r="AB11"/>
      <c r="AC11"/>
      <c r="AD11"/>
    </row>
    <row r="12" spans="1:30" ht="15" customHeight="1" x14ac:dyDescent="0.35">
      <c r="A12" s="128" t="s">
        <v>27</v>
      </c>
      <c r="B12" s="120" t="str">
        <f>VLOOKUP(B8,'MTX CARAC'!$A$2:$L$123,3,FALSE)</f>
        <v>Empleados, directivos, consejeros o jubilados de todas las entidades que formen parte del grupo financiero o empresarial al que pertenece la sociedad operadora.</v>
      </c>
      <c r="C12" s="110" t="str">
        <f>VLOOKUP(C8,'MTX CARAC'!$A$2:$L$123,3,FALSE)</f>
        <v>Empleados, directivos, consejeros o jubilados de todas las entidades que formen parte del grupo financiero o empresarial al que pertenece la sociedad operadora.</v>
      </c>
      <c r="D12" s="1"/>
      <c r="E12" s="351" t="s">
        <v>25</v>
      </c>
      <c r="F12" s="352"/>
      <c r="G12" s="124" t="s">
        <v>269</v>
      </c>
      <c r="H12" s="97">
        <f>+'MTX PRECIOS'!C203</f>
        <v>46112</v>
      </c>
      <c r="I12" s="97">
        <f>+'MTX PRECIOS'!D203</f>
        <v>46052</v>
      </c>
      <c r="J12" s="97">
        <f>+'MTX PRECIOS'!E203</f>
        <v>45777</v>
      </c>
      <c r="K12" s="97">
        <f>+'MTX PRECIOS'!F203</f>
        <v>45044</v>
      </c>
      <c r="L12" s="103"/>
      <c r="M12" s="103"/>
      <c r="AA12"/>
      <c r="AB12"/>
      <c r="AC12"/>
      <c r="AD12"/>
    </row>
    <row r="13" spans="1:30" x14ac:dyDescent="0.35">
      <c r="A13" s="128" t="s">
        <v>28</v>
      </c>
      <c r="B13" s="121" t="str">
        <f>VLOOKUP(B8,'MTX CARAC'!$A$2:$L$123,4,FALSE)</f>
        <v>Una acción</v>
      </c>
      <c r="C13" s="113" t="str">
        <f>VLOOKUP(C8,'MTX CARAC'!$A$2:$L$123,4,FALSE)</f>
        <v>Una acción</v>
      </c>
      <c r="D13" s="1"/>
      <c r="E13" s="351"/>
      <c r="F13" s="352"/>
      <c r="G13" s="124" t="s">
        <v>270</v>
      </c>
      <c r="H13" s="105">
        <f>+'MTX PRECIOS'!C204</f>
        <v>46142</v>
      </c>
      <c r="I13" s="105">
        <f>+'MTX PRECIOS'!D204</f>
        <v>46142</v>
      </c>
      <c r="J13" s="105">
        <f>+'MTX PRECIOS'!E204</f>
        <v>46142</v>
      </c>
      <c r="K13" s="105">
        <f>+'MTX PRECIOS'!F204</f>
        <v>46142</v>
      </c>
      <c r="L13" s="103"/>
      <c r="M13" s="103"/>
      <c r="AA13"/>
      <c r="AB13"/>
      <c r="AC13"/>
      <c r="AD13"/>
    </row>
    <row r="14" spans="1:30" x14ac:dyDescent="0.35">
      <c r="A14" s="128" t="s">
        <v>29</v>
      </c>
      <c r="B14" s="119" t="str">
        <f>VLOOKUP(B8,'MTX CARAC'!$A$2:$L$123,5,FALSE)</f>
        <v>Largo Plazo</v>
      </c>
      <c r="C14" s="114" t="str">
        <f>VLOOKUP(C8,'MTX CARAC'!$A$2:$L$123,5,FALSE)</f>
        <v>Corto Plazo</v>
      </c>
      <c r="D14" s="1"/>
      <c r="E14" s="357" t="str">
        <f>+B8</f>
        <v>MVFANG+ BF-H</v>
      </c>
      <c r="F14" s="358"/>
      <c r="G14" s="102" t="str">
        <f>VLOOKUP(E14,GRAFICAS!$A$170:$B$278,2,0)</f>
        <v>Efectivo</v>
      </c>
      <c r="H14" s="98">
        <f>VLOOKUP($G14,$B$356:$F$358,2,0)</f>
        <v>0.12834427443086938</v>
      </c>
      <c r="I14" s="98">
        <f>VLOOKUP($G14,$B$356:$F$358,3,0)</f>
        <v>8.4748853076108688E-2</v>
      </c>
      <c r="J14" s="98">
        <f>VLOOKUP($G14,$B$356:$F$358,4,0)</f>
        <v>0.27916884053671032</v>
      </c>
      <c r="K14" s="98">
        <f>VLOOKUP($G14,$B$356:$F$358,5,0)</f>
        <v>1.0315143637645399</v>
      </c>
      <c r="L14" s="98" t="str">
        <f>VLOOKUP($E14,'12M CALENDAR'!$B$3:$AC$139,27,0)</f>
        <v>No aplica</v>
      </c>
      <c r="M14" s="98" t="str">
        <f>VLOOKUP($E14,'12M CALENDAR'!$B$3:$AC$139,28,0)</f>
        <v>No aplica</v>
      </c>
      <c r="AA14"/>
      <c r="AB14"/>
      <c r="AC14"/>
      <c r="AD14"/>
    </row>
    <row r="15" spans="1:30" ht="15" customHeight="1" x14ac:dyDescent="0.35">
      <c r="A15" s="128" t="s">
        <v>30</v>
      </c>
      <c r="B15" s="120" t="str">
        <f>VLOOKUP(B8,'MTX CARAC'!$A$2:$L$123,6,FALSE)</f>
        <v>Diario</v>
      </c>
      <c r="C15" s="110" t="str">
        <f>VLOOKUP(C8,'MTX CARAC'!$A$2:$L$123,6,FALSE)</f>
        <v>Diario</v>
      </c>
      <c r="D15" s="1"/>
      <c r="E15" s="357" t="str">
        <f>+C8</f>
        <v>MULTIRE BF-H</v>
      </c>
      <c r="F15" s="358"/>
      <c r="G15" s="102" t="str">
        <f>VLOOKUP(E15,GRAFICAS!$A$170:$B$278,2,0)</f>
        <v>Anualizado Compuesto</v>
      </c>
      <c r="H15" s="98">
        <f>VLOOKUP($G15,$B$367:$F$369,2,FALSE)</f>
        <v>6.9074852892074823E-2</v>
      </c>
      <c r="I15" s="98">
        <f>VLOOKUP($G15,$B$367:$F$369,3,FALSE)</f>
        <v>6.0832133359661533E-2</v>
      </c>
      <c r="J15" s="98">
        <f>VLOOKUP($G15,$B$367:$F$369,4,FALSE)</f>
        <v>7.0841187336780465E-2</v>
      </c>
      <c r="K15" s="98">
        <f>VLOOKUP($G15,$B$367:$F$369,5,FALSE)</f>
        <v>9.5013593745749914E-2</v>
      </c>
      <c r="L15" s="98">
        <f>VLOOKUP($E15,'12M CALENDAR'!$B$3:$AC$139,27,0)</f>
        <v>0.10552316976549947</v>
      </c>
      <c r="M15" s="98">
        <f>VLOOKUP($E15,'12M CALENDAR'!$B$3:$AC$139,28,0)</f>
        <v>6.4269419981247244E-2</v>
      </c>
      <c r="AA15"/>
      <c r="AB15"/>
      <c r="AC15"/>
      <c r="AD15"/>
    </row>
    <row r="16" spans="1:30" x14ac:dyDescent="0.35">
      <c r="A16" s="128" t="s">
        <v>31</v>
      </c>
      <c r="B16" s="119" t="str">
        <f>VLOOKUP(B8,'MTX CARAC'!$A$2:$L$123,7,FALSE)</f>
        <v>24 hrs</v>
      </c>
      <c r="C16" s="114" t="str">
        <f>VLOOKUP(C8,'MTX CARAC'!$A$2:$L$123,7,FALSE)</f>
        <v>Mismo día</v>
      </c>
      <c r="D16" s="1"/>
      <c r="E16" s="122" t="s">
        <v>268</v>
      </c>
      <c r="M16" s="104" t="s">
        <v>275</v>
      </c>
      <c r="AA16"/>
      <c r="AB16"/>
      <c r="AC16"/>
      <c r="AD16"/>
    </row>
    <row r="17" spans="1:30" ht="89.25" customHeight="1" x14ac:dyDescent="0.35">
      <c r="A17" s="130" t="s">
        <v>36</v>
      </c>
      <c r="B17" s="118" t="str">
        <f>VLOOKUP(B8,'MTX CARAC'!$A$2:$L$123,8,FALSE)</f>
        <v>14:00  (1)</v>
      </c>
      <c r="C17" s="116">
        <f>VLOOKUP(C8,'MTX CARAC'!$A$2:$L$123,8,FALSE)</f>
        <v>0.5625</v>
      </c>
      <c r="D17" s="1"/>
      <c r="E17" s="55"/>
      <c r="F17" s="55"/>
      <c r="G17" s="55"/>
      <c r="H17" s="39"/>
      <c r="I17" s="39"/>
      <c r="J17" s="39"/>
      <c r="AA17"/>
      <c r="AB17"/>
      <c r="AC17"/>
      <c r="AD17"/>
    </row>
    <row r="18" spans="1:30" ht="18.75" customHeight="1" x14ac:dyDescent="0.35">
      <c r="A18" s="128" t="s">
        <v>33</v>
      </c>
      <c r="B18" s="119" t="str">
        <f>VLOOKUP(B8,'MTX CARAC'!$A$2:$L$123,9,FALSE)</f>
        <v>No aplica</v>
      </c>
      <c r="C18" s="114" t="str">
        <f>VLOOKUP(C8,'MTX CARAC'!$A$2:$L$123,9,FALSE)</f>
        <v>HR AAA / 1CP</v>
      </c>
      <c r="D18" s="55"/>
      <c r="E18" s="55"/>
      <c r="F18" s="55"/>
      <c r="G18" s="55"/>
      <c r="AA18"/>
      <c r="AB18"/>
      <c r="AC18"/>
      <c r="AD18"/>
    </row>
    <row r="19" spans="1:30" ht="40.5" customHeight="1" x14ac:dyDescent="0.35">
      <c r="A19" s="131" t="s">
        <v>39</v>
      </c>
      <c r="B19" s="132" t="str">
        <f>VLOOKUP(B8,'MTX CARAC'!$A$2:$L$123,12,FALSE)</f>
        <v>Renta variable</v>
      </c>
      <c r="C19" s="133" t="str">
        <f>VLOOKUP(C8,'MTX CARAC'!$A$2:$L$123,12,FALSE)</f>
        <v>Deuda</v>
      </c>
      <c r="D19" s="55"/>
      <c r="E19" s="55"/>
      <c r="F19" s="55"/>
      <c r="G19" s="55"/>
      <c r="AA19"/>
      <c r="AB19"/>
      <c r="AC19"/>
      <c r="AD19"/>
    </row>
    <row r="20" spans="1:30" s="1" customFormat="1" ht="29.25" customHeight="1" x14ac:dyDescent="0.35">
      <c r="A20" s="353" t="s">
        <v>280</v>
      </c>
      <c r="B20" s="353"/>
      <c r="C20" s="353"/>
      <c r="D20" s="353"/>
      <c r="E20" s="353"/>
      <c r="F20" s="353"/>
      <c r="G20" s="353"/>
      <c r="H20" s="353"/>
      <c r="I20" s="353"/>
      <c r="J20" s="353"/>
      <c r="K20" s="353"/>
      <c r="L20" s="353"/>
      <c r="M20" s="353"/>
    </row>
    <row r="21" spans="1:30" s="1" customFormat="1" ht="15" customHeight="1" x14ac:dyDescent="0.35">
      <c r="A21" s="29"/>
      <c r="B21" s="30"/>
      <c r="C21" s="30"/>
      <c r="D21" s="30"/>
      <c r="E21" s="30"/>
      <c r="F21" s="30"/>
      <c r="G21" s="30"/>
    </row>
    <row r="22" spans="1:30" s="1" customFormat="1" ht="15" customHeight="1" x14ac:dyDescent="0.35">
      <c r="A22" s="29"/>
      <c r="B22" s="30"/>
      <c r="C22" s="30"/>
      <c r="D22" s="30"/>
      <c r="E22" s="30"/>
      <c r="F22" s="30"/>
      <c r="G22" s="30"/>
    </row>
    <row r="23" spans="1:30"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pans="1:13" s="1" customFormat="1" ht="18.5" x14ac:dyDescent="0.45">
      <c r="A65" s="28" t="s">
        <v>170</v>
      </c>
    </row>
    <row r="66" spans="1:13" s="1" customFormat="1" x14ac:dyDescent="0.35">
      <c r="C66" s="31">
        <f>HLOOKUP(C68,'MTX PRECIOS'!$A$95:$EG$96,2,0)</f>
        <v>111</v>
      </c>
      <c r="D66" s="66">
        <f>HLOOKUP(D68,'MTX PRECIOS'!$A$95:$EG$96,2,0)</f>
        <v>18</v>
      </c>
    </row>
    <row r="67" spans="1:13" s="1" customFormat="1" x14ac:dyDescent="0.35">
      <c r="A67" s="27"/>
      <c r="B67" s="22"/>
      <c r="C67" s="362" t="s">
        <v>171</v>
      </c>
      <c r="D67" s="362"/>
      <c r="E67" s="361" t="s">
        <v>172</v>
      </c>
      <c r="F67" s="361"/>
      <c r="G67" s="359" t="s">
        <v>186</v>
      </c>
      <c r="H67" s="359"/>
      <c r="I67" s="360" t="s">
        <v>185</v>
      </c>
      <c r="J67" s="360"/>
      <c r="K67" s="360"/>
      <c r="L67" s="354" t="s">
        <v>263</v>
      </c>
      <c r="M67" s="354"/>
    </row>
    <row r="68" spans="1:13" s="1" customFormat="1" x14ac:dyDescent="0.35">
      <c r="A68" s="32"/>
      <c r="B68" s="52" t="s">
        <v>173</v>
      </c>
      <c r="C68" s="48" t="str">
        <f>+B8</f>
        <v>MVFANG+ BF-H</v>
      </c>
      <c r="D68" s="48" t="str">
        <f>+C8</f>
        <v>MULTIRE BF-H</v>
      </c>
      <c r="E68" s="48" t="str">
        <f t="shared" ref="E68:J68" si="0">+C68</f>
        <v>MVFANG+ BF-H</v>
      </c>
      <c r="F68" s="48" t="str">
        <f t="shared" si="0"/>
        <v>MULTIRE BF-H</v>
      </c>
      <c r="G68" s="49" t="str">
        <f t="shared" si="0"/>
        <v>MVFANG+ BF-H</v>
      </c>
      <c r="H68" s="49" t="str">
        <f t="shared" si="0"/>
        <v>MULTIRE BF-H</v>
      </c>
      <c r="I68" s="49" t="str">
        <f t="shared" si="0"/>
        <v>MVFANG+ BF-H</v>
      </c>
      <c r="J68" s="49" t="str">
        <f t="shared" si="0"/>
        <v>MULTIRE BF-H</v>
      </c>
      <c r="K68" s="54" t="s">
        <v>187</v>
      </c>
      <c r="L68" s="49" t="str">
        <f>+G68</f>
        <v>MVFANG+ BF-H</v>
      </c>
      <c r="M68" s="49" t="str">
        <f>+H68</f>
        <v>MULTIRE BF-H</v>
      </c>
    </row>
    <row r="69" spans="1:13" s="1" customFormat="1" x14ac:dyDescent="0.35">
      <c r="A69" s="33">
        <v>0</v>
      </c>
      <c r="B69" s="34">
        <v>45412</v>
      </c>
      <c r="C69" s="35">
        <f>VLOOKUP($B69,'MTX PRECIOS'!$A$5:$EC$94,C$66,0)</f>
        <v>1.0258659999999999</v>
      </c>
      <c r="D69" s="36">
        <f>VLOOKUP($B69,'MTX PRECIOS'!$A$5:$EC$94,D$66,0)</f>
        <v>6.5336999999999996</v>
      </c>
      <c r="E69" s="37">
        <f>+F7</f>
        <v>100</v>
      </c>
      <c r="F69" s="37">
        <f>+F7</f>
        <v>100</v>
      </c>
      <c r="G69" s="43"/>
      <c r="H69" s="43"/>
      <c r="I69" s="43"/>
      <c r="J69" s="43"/>
      <c r="K69" s="43"/>
      <c r="L69" s="47"/>
      <c r="M69" s="47"/>
    </row>
    <row r="70" spans="1:13" s="1" customFormat="1" x14ac:dyDescent="0.35">
      <c r="A70" s="33">
        <f>+A69+1</f>
        <v>1</v>
      </c>
      <c r="B70" s="34">
        <f>VLOOKUP(B69,'MTX PRECIOS'!$EB$5:$EC$94,2,0)</f>
        <v>45443</v>
      </c>
      <c r="C70" s="35">
        <f>VLOOKUP($B70,'MTX PRECIOS'!$A$5:$EC$94,C$66,0)</f>
        <v>1.0866</v>
      </c>
      <c r="D70" s="36">
        <f>VLOOKUP($B70,'MTX PRECIOS'!$A$5:$EC$94,D$66,0)</f>
        <v>6.594176</v>
      </c>
      <c r="E70" s="37">
        <f t="shared" ref="E70:E93" si="1">+(C70/C69)*E69</f>
        <v>105.92026638956746</v>
      </c>
      <c r="F70" s="37">
        <f t="shared" ref="F70:F93" si="2">+(D70/D69)*F69</f>
        <v>100.9256011142232</v>
      </c>
      <c r="G70" s="47">
        <f>+C70/C69-1</f>
        <v>5.9202663895674634E-2</v>
      </c>
      <c r="H70" s="47">
        <f>+D70/D69-1</f>
        <v>9.2560111422319569E-3</v>
      </c>
      <c r="I70" s="47">
        <f>+G70*360/K70</f>
        <v>0.68751480653041508</v>
      </c>
      <c r="J70" s="47">
        <f>+H70*360/K70</f>
        <v>0.10748916165172595</v>
      </c>
      <c r="K70" s="53">
        <f>+B70-B69</f>
        <v>31</v>
      </c>
      <c r="L70" s="47">
        <f>+((C70/C69)^(360/$K70))-1</f>
        <v>0.95020136889637619</v>
      </c>
      <c r="M70" s="47">
        <f>+((D70/D69)^(360/$K70))-1</f>
        <v>0.11292841128482767</v>
      </c>
    </row>
    <row r="71" spans="1:13" s="1" customFormat="1" x14ac:dyDescent="0.35">
      <c r="A71" s="33">
        <f t="shared" ref="A71:A93" si="3">+A70+1</f>
        <v>2</v>
      </c>
      <c r="B71" s="34">
        <f>VLOOKUP(B70,'MTX PRECIOS'!$EB$5:$EC$94,2,0)</f>
        <v>45471</v>
      </c>
      <c r="C71" s="35">
        <f>VLOOKUP($B71,'MTX PRECIOS'!$A$5:$EC$94,C$66,0)</f>
        <v>1.2345950000000001</v>
      </c>
      <c r="D71" s="36">
        <f>VLOOKUP($B71,'MTX PRECIOS'!$A$5:$EC$94,D$66,0)</f>
        <v>6.6469329999999998</v>
      </c>
      <c r="E71" s="37">
        <f t="shared" si="1"/>
        <v>120.34661447011601</v>
      </c>
      <c r="F71" s="37">
        <f t="shared" si="2"/>
        <v>101.73306089964341</v>
      </c>
      <c r="G71" s="47">
        <f t="shared" ref="G71:G93" si="4">+C71/C70-1</f>
        <v>0.13620007362414888</v>
      </c>
      <c r="H71" s="47">
        <f t="shared" ref="H71:H93" si="5">+D71/D70-1</f>
        <v>8.0005447231010773E-3</v>
      </c>
      <c r="I71" s="47">
        <f t="shared" ref="I71:I93" si="6">+G71*360/K71</f>
        <v>1.751143803739057</v>
      </c>
      <c r="J71" s="47">
        <f t="shared" ref="J71:J93" si="7">+H71*360/K71</f>
        <v>0.10286414643987099</v>
      </c>
      <c r="K71" s="53">
        <f t="shared" ref="K71:K93" si="8">+B71-B70</f>
        <v>28</v>
      </c>
      <c r="L71" s="47">
        <f t="shared" ref="L71:L93" si="9">+((C71/C70)^(360/$K71))-1</f>
        <v>4.1640501822706604</v>
      </c>
      <c r="M71" s="47">
        <f t="shared" ref="M71:M93" si="10">+((D71/D70)^(360/$K71))-1</f>
        <v>0.10788727245341412</v>
      </c>
    </row>
    <row r="72" spans="1:13" s="1" customFormat="1" x14ac:dyDescent="0.35">
      <c r="A72" s="33">
        <f t="shared" si="3"/>
        <v>3</v>
      </c>
      <c r="B72" s="34">
        <f>VLOOKUP(B71,'MTX PRECIOS'!$EB$5:$EC$94,2,0)</f>
        <v>45504</v>
      </c>
      <c r="C72" s="35">
        <f>VLOOKUP($B72,'MTX PRECIOS'!$A$5:$EC$94,C$66,0)</f>
        <v>1.246057</v>
      </c>
      <c r="D72" s="36">
        <f>VLOOKUP($B72,'MTX PRECIOS'!$A$5:$EC$94,D$66,0)</f>
        <v>6.7060329999999997</v>
      </c>
      <c r="E72" s="37">
        <f t="shared" si="1"/>
        <v>121.46391439037848</v>
      </c>
      <c r="F72" s="37">
        <f t="shared" si="2"/>
        <v>102.63760197131795</v>
      </c>
      <c r="G72" s="47">
        <f t="shared" si="4"/>
        <v>9.2840162158438488E-3</v>
      </c>
      <c r="H72" s="47">
        <f t="shared" si="5"/>
        <v>8.8913187480601508E-3</v>
      </c>
      <c r="I72" s="47">
        <f t="shared" si="6"/>
        <v>0.10128017690011472</v>
      </c>
      <c r="J72" s="47">
        <f t="shared" si="7"/>
        <v>9.6996204524292556E-2</v>
      </c>
      <c r="K72" s="53">
        <f t="shared" si="8"/>
        <v>33</v>
      </c>
      <c r="L72" s="47">
        <f t="shared" si="9"/>
        <v>0.10606970249852199</v>
      </c>
      <c r="M72" s="47">
        <f t="shared" si="10"/>
        <v>0.1013839567907846</v>
      </c>
    </row>
    <row r="73" spans="1:13" s="1" customFormat="1" x14ac:dyDescent="0.35">
      <c r="A73" s="33">
        <f t="shared" si="3"/>
        <v>4</v>
      </c>
      <c r="B73" s="34">
        <f>VLOOKUP(B72,'MTX PRECIOS'!$EB$5:$EC$94,2,0)</f>
        <v>45534</v>
      </c>
      <c r="C73" s="35">
        <f>VLOOKUP($B73,'MTX PRECIOS'!$A$5:$EC$94,C$66,0)</f>
        <v>1.3240970000000001</v>
      </c>
      <c r="D73" s="36">
        <f>VLOOKUP($B73,'MTX PRECIOS'!$A$5:$EC$94,D$66,0)</f>
        <v>6.7686739999999999</v>
      </c>
      <c r="E73" s="37">
        <f t="shared" si="1"/>
        <v>129.07114574418102</v>
      </c>
      <c r="F73" s="37">
        <f t="shared" si="2"/>
        <v>103.59633898097557</v>
      </c>
      <c r="G73" s="47">
        <f t="shared" si="4"/>
        <v>6.2629558679899944E-2</v>
      </c>
      <c r="H73" s="47">
        <f t="shared" si="5"/>
        <v>9.3409919098221827E-3</v>
      </c>
      <c r="I73" s="47">
        <f t="shared" si="6"/>
        <v>0.75155470415879932</v>
      </c>
      <c r="J73" s="47">
        <f t="shared" si="7"/>
        <v>0.11209190291786619</v>
      </c>
      <c r="K73" s="53">
        <f t="shared" si="8"/>
        <v>30</v>
      </c>
      <c r="L73" s="47">
        <f t="shared" si="9"/>
        <v>1.0729207924137265</v>
      </c>
      <c r="M73" s="47">
        <f t="shared" si="10"/>
        <v>0.11803380983271805</v>
      </c>
    </row>
    <row r="74" spans="1:13" s="1" customFormat="1" x14ac:dyDescent="0.35">
      <c r="A74" s="33">
        <f t="shared" si="3"/>
        <v>5</v>
      </c>
      <c r="B74" s="34">
        <f>VLOOKUP(B73,'MTX PRECIOS'!$EB$5:$EC$94,2,0)</f>
        <v>45565</v>
      </c>
      <c r="C74" s="35">
        <f>VLOOKUP($B74,'MTX PRECIOS'!$A$5:$EC$94,C$66,0)</f>
        <v>1.351839</v>
      </c>
      <c r="D74" s="36">
        <f>VLOOKUP($B74,'MTX PRECIOS'!$A$5:$EC$94,D$66,0)</f>
        <v>6.827013</v>
      </c>
      <c r="E74" s="37">
        <f t="shared" si="1"/>
        <v>131.77539756654377</v>
      </c>
      <c r="F74" s="37">
        <f t="shared" si="2"/>
        <v>104.48923274714176</v>
      </c>
      <c r="G74" s="47">
        <f t="shared" si="4"/>
        <v>2.0951637228994402E-2</v>
      </c>
      <c r="H74" s="47">
        <f t="shared" si="5"/>
        <v>8.6189702739414287E-3</v>
      </c>
      <c r="I74" s="47">
        <f t="shared" si="6"/>
        <v>0.24330933556251563</v>
      </c>
      <c r="J74" s="47">
        <f t="shared" si="7"/>
        <v>0.10009126769738433</v>
      </c>
      <c r="K74" s="53">
        <f t="shared" si="8"/>
        <v>31</v>
      </c>
      <c r="L74" s="47">
        <f t="shared" si="9"/>
        <v>0.27226086036516373</v>
      </c>
      <c r="M74" s="47">
        <f t="shared" si="10"/>
        <v>0.10479786257178003</v>
      </c>
    </row>
    <row r="75" spans="1:13" s="1" customFormat="1" x14ac:dyDescent="0.35">
      <c r="A75" s="33">
        <f t="shared" si="3"/>
        <v>6</v>
      </c>
      <c r="B75" s="34">
        <f>VLOOKUP(B74,'MTX PRECIOS'!$EB$5:$EC$94,2,0)</f>
        <v>45596</v>
      </c>
      <c r="C75" s="35">
        <f>VLOOKUP($B75,'MTX PRECIOS'!$A$5:$EC$94,C$66,0)</f>
        <v>1.366579</v>
      </c>
      <c r="D75" s="36">
        <f>VLOOKUP($B75,'MTX PRECIOS'!$A$5:$EC$94,D$66,0)</f>
        <v>6.8802029999999998</v>
      </c>
      <c r="E75" s="37">
        <f t="shared" si="1"/>
        <v>133.21223239682374</v>
      </c>
      <c r="F75" s="37">
        <f t="shared" si="2"/>
        <v>105.30331971164884</v>
      </c>
      <c r="G75" s="47">
        <f t="shared" si="4"/>
        <v>1.0903665303338528E-2</v>
      </c>
      <c r="H75" s="47">
        <f t="shared" si="5"/>
        <v>7.7911086444393263E-3</v>
      </c>
      <c r="I75" s="47">
        <f t="shared" si="6"/>
        <v>0.12662320997425386</v>
      </c>
      <c r="J75" s="47">
        <f t="shared" si="7"/>
        <v>9.047739070961798E-2</v>
      </c>
      <c r="K75" s="53">
        <f t="shared" si="8"/>
        <v>31</v>
      </c>
      <c r="L75" s="47">
        <f t="shared" si="9"/>
        <v>0.1342116848362549</v>
      </c>
      <c r="M75" s="47">
        <f t="shared" si="10"/>
        <v>9.4312980386083378E-2</v>
      </c>
    </row>
    <row r="76" spans="1:13" s="1" customFormat="1" x14ac:dyDescent="0.35">
      <c r="A76" s="33">
        <f t="shared" si="3"/>
        <v>7</v>
      </c>
      <c r="B76" s="34">
        <f>VLOOKUP(B75,'MTX PRECIOS'!$EB$5:$EC$94,2,0)</f>
        <v>45625</v>
      </c>
      <c r="C76" s="35">
        <f>VLOOKUP($B76,'MTX PRECIOS'!$A$5:$EC$94,C$66,0)</f>
        <v>1.465408</v>
      </c>
      <c r="D76" s="36">
        <f>VLOOKUP($B76,'MTX PRECIOS'!$A$5:$EC$94,D$66,0)</f>
        <v>6.9397450000000003</v>
      </c>
      <c r="E76" s="37">
        <f t="shared" si="1"/>
        <v>142.84594674158222</v>
      </c>
      <c r="F76" s="37">
        <f t="shared" si="2"/>
        <v>106.2146257097816</v>
      </c>
      <c r="G76" s="47">
        <f t="shared" si="4"/>
        <v>7.2318541408875836E-2</v>
      </c>
      <c r="H76" s="47">
        <f t="shared" si="5"/>
        <v>8.6541051187007945E-3</v>
      </c>
      <c r="I76" s="47">
        <f t="shared" si="6"/>
        <v>0.8977474105929415</v>
      </c>
      <c r="J76" s="47">
        <f t="shared" si="7"/>
        <v>0.10743027043904435</v>
      </c>
      <c r="K76" s="53">
        <f t="shared" si="8"/>
        <v>29</v>
      </c>
      <c r="L76" s="47">
        <f t="shared" si="9"/>
        <v>1.3792143506823424</v>
      </c>
      <c r="M76" s="47">
        <f t="shared" si="10"/>
        <v>0.11289872870354323</v>
      </c>
    </row>
    <row r="77" spans="1:13" s="1" customFormat="1" x14ac:dyDescent="0.35">
      <c r="A77" s="33">
        <f t="shared" si="3"/>
        <v>8</v>
      </c>
      <c r="B77" s="34">
        <f>VLOOKUP(B76,'MTX PRECIOS'!$EB$5:$EC$94,2,0)</f>
        <v>45657</v>
      </c>
      <c r="C77" s="35">
        <f>VLOOKUP($B77,'MTX PRECIOS'!$A$5:$EC$94,C$66,0)</f>
        <v>1.506683</v>
      </c>
      <c r="D77" s="36">
        <f>VLOOKUP($B77,'MTX PRECIOS'!$A$5:$EC$94,D$66,0)</f>
        <v>6.9965640000000002</v>
      </c>
      <c r="E77" s="37">
        <f t="shared" si="1"/>
        <v>146.86937670222034</v>
      </c>
      <c r="F77" s="37">
        <f t="shared" si="2"/>
        <v>107.08425547545802</v>
      </c>
      <c r="G77" s="47">
        <f t="shared" si="4"/>
        <v>2.8166217190024767E-2</v>
      </c>
      <c r="H77" s="47">
        <f t="shared" si="5"/>
        <v>8.1874766291845091E-3</v>
      </c>
      <c r="I77" s="47">
        <f t="shared" si="6"/>
        <v>0.31686994338777863</v>
      </c>
      <c r="J77" s="47">
        <f t="shared" si="7"/>
        <v>9.2109112078325728E-2</v>
      </c>
      <c r="K77" s="53">
        <f t="shared" si="8"/>
        <v>32</v>
      </c>
      <c r="L77" s="47">
        <f t="shared" si="9"/>
        <v>0.36682358009699967</v>
      </c>
      <c r="M77" s="47">
        <f t="shared" si="10"/>
        <v>9.6073323281161027E-2</v>
      </c>
    </row>
    <row r="78" spans="1:13" s="1" customFormat="1" x14ac:dyDescent="0.35">
      <c r="A78" s="33">
        <f t="shared" si="3"/>
        <v>9</v>
      </c>
      <c r="B78" s="34">
        <f>VLOOKUP(B77,'MTX PRECIOS'!$EB$5:$EC$94,2,0)</f>
        <v>45688</v>
      </c>
      <c r="C78" s="35">
        <f>VLOOKUP($B78,'MTX PRECIOS'!$A$5:$EC$94,C$66,0)</f>
        <v>1.5041180000000001</v>
      </c>
      <c r="D78" s="36">
        <f>VLOOKUP($B78,'MTX PRECIOS'!$A$5:$EC$94,D$66,0)</f>
        <v>7.0572660000000003</v>
      </c>
      <c r="E78" s="37">
        <f t="shared" si="1"/>
        <v>146.6193440468833</v>
      </c>
      <c r="F78" s="37">
        <f t="shared" si="2"/>
        <v>108.01331557922771</v>
      </c>
      <c r="G78" s="47">
        <f t="shared" si="4"/>
        <v>-1.7024151729327919E-3</v>
      </c>
      <c r="H78" s="47">
        <f t="shared" si="5"/>
        <v>8.675972949007571E-3</v>
      </c>
      <c r="I78" s="47">
        <f t="shared" si="6"/>
        <v>-1.9769982653413069E-2</v>
      </c>
      <c r="J78" s="47">
        <f t="shared" si="7"/>
        <v>0.10075323424653954</v>
      </c>
      <c r="K78" s="53">
        <f t="shared" si="8"/>
        <v>31</v>
      </c>
      <c r="L78" s="47">
        <f t="shared" si="9"/>
        <v>-1.9592355603266554E-2</v>
      </c>
      <c r="M78" s="47">
        <f t="shared" si="10"/>
        <v>0.10552316976549947</v>
      </c>
    </row>
    <row r="79" spans="1:13" s="1" customFormat="1" x14ac:dyDescent="0.35">
      <c r="A79" s="33">
        <f t="shared" si="3"/>
        <v>10</v>
      </c>
      <c r="B79" s="34">
        <f>VLOOKUP(B78,'MTX PRECIOS'!$EB$5:$EC$94,2,0)</f>
        <v>45716</v>
      </c>
      <c r="C79" s="35">
        <f>VLOOKUP($B79,'MTX PRECIOS'!$A$5:$EC$94,C$66,0)</f>
        <v>1.455684</v>
      </c>
      <c r="D79" s="36">
        <f>VLOOKUP($B79,'MTX PRECIOS'!$A$5:$EC$94,D$66,0)</f>
        <v>7.1055869999999999</v>
      </c>
      <c r="E79" s="37">
        <f t="shared" si="1"/>
        <v>141.8980646595169</v>
      </c>
      <c r="F79" s="37">
        <f t="shared" si="2"/>
        <v>108.75288121585012</v>
      </c>
      <c r="G79" s="47">
        <f t="shared" si="4"/>
        <v>-3.2200931043974035E-2</v>
      </c>
      <c r="H79" s="47">
        <f t="shared" si="5"/>
        <v>6.8469857874138285E-3</v>
      </c>
      <c r="I79" s="47">
        <f t="shared" si="6"/>
        <v>-0.41401197056538042</v>
      </c>
      <c r="J79" s="47">
        <f t="shared" si="7"/>
        <v>8.8032674409606368E-2</v>
      </c>
      <c r="K79" s="53">
        <f t="shared" si="8"/>
        <v>28</v>
      </c>
      <c r="L79" s="47">
        <f t="shared" si="9"/>
        <v>-0.34349462618075133</v>
      </c>
      <c r="M79" s="47">
        <f t="shared" si="10"/>
        <v>9.1696233136175476E-2</v>
      </c>
    </row>
    <row r="80" spans="1:13" s="1" customFormat="1" x14ac:dyDescent="0.35">
      <c r="A80" s="33">
        <f t="shared" si="3"/>
        <v>11</v>
      </c>
      <c r="B80" s="34">
        <f>VLOOKUP(B79,'MTX PRECIOS'!$EB$5:$EC$94,2,0)</f>
        <v>45747</v>
      </c>
      <c r="C80" s="35">
        <f>VLOOKUP($B80,'MTX PRECIOS'!$A$5:$EC$94,C$66,0)</f>
        <v>1.3311539999999999</v>
      </c>
      <c r="D80" s="36">
        <f>VLOOKUP($B80,'MTX PRECIOS'!$A$5:$EC$94,D$66,0)</f>
        <v>7.157159</v>
      </c>
      <c r="E80" s="37">
        <f t="shared" si="1"/>
        <v>129.75905235186659</v>
      </c>
      <c r="F80" s="37">
        <f t="shared" si="2"/>
        <v>109.54220426404639</v>
      </c>
      <c r="G80" s="47">
        <f t="shared" si="4"/>
        <v>-8.5547412762660091E-2</v>
      </c>
      <c r="H80" s="47">
        <f t="shared" si="5"/>
        <v>7.2579506802181726E-3</v>
      </c>
      <c r="I80" s="47">
        <f t="shared" si="6"/>
        <v>-0.99345382563089135</v>
      </c>
      <c r="J80" s="47">
        <f t="shared" si="7"/>
        <v>8.4285878867049746E-2</v>
      </c>
      <c r="K80" s="53">
        <f t="shared" si="8"/>
        <v>31</v>
      </c>
      <c r="L80" s="47">
        <f t="shared" si="9"/>
        <v>-0.64602817679686608</v>
      </c>
      <c r="M80" s="47">
        <f t="shared" si="10"/>
        <v>8.7608750543624048E-2</v>
      </c>
    </row>
    <row r="81" spans="1:13" s="1" customFormat="1" x14ac:dyDescent="0.35">
      <c r="A81" s="33">
        <f t="shared" si="3"/>
        <v>12</v>
      </c>
      <c r="B81" s="34">
        <f>VLOOKUP(B80,'MTX PRECIOS'!$EB$5:$EC$94,2,0)</f>
        <v>45777</v>
      </c>
      <c r="C81" s="35">
        <f>VLOOKUP($B81,'MTX PRECIOS'!$A$5:$EC$94,C$66,0)</f>
        <v>1.297609</v>
      </c>
      <c r="D81" s="36">
        <f>VLOOKUP($B81,'MTX PRECIOS'!$A$5:$EC$94,D$66,0)</f>
        <v>7.2092910000000003</v>
      </c>
      <c r="E81" s="37">
        <f t="shared" si="1"/>
        <v>126.48913210887189</v>
      </c>
      <c r="F81" s="37">
        <f t="shared" si="2"/>
        <v>110.34009825979153</v>
      </c>
      <c r="G81" s="47">
        <f t="shared" si="4"/>
        <v>-2.5199939300787122E-2</v>
      </c>
      <c r="H81" s="47">
        <f t="shared" si="5"/>
        <v>7.2838957469019139E-3</v>
      </c>
      <c r="I81" s="47">
        <f t="shared" si="6"/>
        <v>-0.30239927160944546</v>
      </c>
      <c r="J81" s="47">
        <f t="shared" si="7"/>
        <v>8.7406748962822967E-2</v>
      </c>
      <c r="K81" s="53">
        <f t="shared" si="8"/>
        <v>30</v>
      </c>
      <c r="L81" s="47">
        <f t="shared" si="9"/>
        <v>-0.2638156672848706</v>
      </c>
      <c r="M81" s="47">
        <f t="shared" si="10"/>
        <v>9.0994816327759409E-2</v>
      </c>
    </row>
    <row r="82" spans="1:13" s="1" customFormat="1" x14ac:dyDescent="0.35">
      <c r="A82" s="33">
        <f t="shared" si="3"/>
        <v>13</v>
      </c>
      <c r="B82" s="34">
        <f>VLOOKUP(B81,'MTX PRECIOS'!$EB$5:$EC$94,2,0)</f>
        <v>45807</v>
      </c>
      <c r="C82" s="35">
        <f>VLOOKUP($B82,'MTX PRECIOS'!$A$5:$EC$94,C$66,0)</f>
        <v>1.39767</v>
      </c>
      <c r="D82" s="36">
        <f>VLOOKUP($B82,'MTX PRECIOS'!$A$5:$EC$94,D$66,0)</f>
        <v>7.2600350000000002</v>
      </c>
      <c r="E82" s="37">
        <f t="shared" si="1"/>
        <v>136.2429401110866</v>
      </c>
      <c r="F82" s="37">
        <f t="shared" si="2"/>
        <v>111.11674854982627</v>
      </c>
      <c r="G82" s="47">
        <f t="shared" si="4"/>
        <v>7.7111826443867049E-2</v>
      </c>
      <c r="H82" s="47">
        <f t="shared" si="5"/>
        <v>7.0386949285303757E-3</v>
      </c>
      <c r="I82" s="47">
        <f t="shared" si="6"/>
        <v>0.92534191732640458</v>
      </c>
      <c r="J82" s="47">
        <f t="shared" si="7"/>
        <v>8.4464339142364508E-2</v>
      </c>
      <c r="K82" s="53">
        <f t="shared" si="8"/>
        <v>30</v>
      </c>
      <c r="L82" s="47">
        <f t="shared" si="9"/>
        <v>1.438538027075519</v>
      </c>
      <c r="M82" s="47">
        <f t="shared" si="10"/>
        <v>8.7812139191379091E-2</v>
      </c>
    </row>
    <row r="83" spans="1:13" s="1" customFormat="1" x14ac:dyDescent="0.35">
      <c r="A83" s="33">
        <f t="shared" si="3"/>
        <v>14</v>
      </c>
      <c r="B83" s="34">
        <f>VLOOKUP(B82,'MTX PRECIOS'!$EB$5:$EC$94,2,0)</f>
        <v>45838</v>
      </c>
      <c r="C83" s="35">
        <f>VLOOKUP($B83,'MTX PRECIOS'!$A$5:$EC$94,C$66,0)</f>
        <v>1.4618610000000001</v>
      </c>
      <c r="D83" s="36">
        <f>VLOOKUP($B83,'MTX PRECIOS'!$A$5:$EC$94,D$66,0)</f>
        <v>7.3052359999999998</v>
      </c>
      <c r="E83" s="37">
        <f t="shared" si="1"/>
        <v>142.5001900833052</v>
      </c>
      <c r="F83" s="37">
        <f t="shared" si="2"/>
        <v>111.80856176439076</v>
      </c>
      <c r="G83" s="47">
        <f t="shared" si="4"/>
        <v>4.5927150185666177E-2</v>
      </c>
      <c r="H83" s="47">
        <f t="shared" si="5"/>
        <v>6.2260030426850577E-3</v>
      </c>
      <c r="I83" s="47">
        <f t="shared" si="6"/>
        <v>0.53334755054322014</v>
      </c>
      <c r="J83" s="47">
        <f t="shared" si="7"/>
        <v>7.2301970818278091E-2</v>
      </c>
      <c r="K83" s="53">
        <f t="shared" si="8"/>
        <v>31</v>
      </c>
      <c r="L83" s="47">
        <f t="shared" si="9"/>
        <v>0.68448945096570757</v>
      </c>
      <c r="M83" s="47">
        <f t="shared" si="10"/>
        <v>7.4738981885709821E-2</v>
      </c>
    </row>
    <row r="84" spans="1:13" s="1" customFormat="1" x14ac:dyDescent="0.35">
      <c r="A84" s="33">
        <f t="shared" si="3"/>
        <v>15</v>
      </c>
      <c r="B84" s="34">
        <f>VLOOKUP(B83,'MTX PRECIOS'!$EB$5:$EC$94,2,0)</f>
        <v>45869</v>
      </c>
      <c r="C84" s="35">
        <f>VLOOKUP($B84,'MTX PRECIOS'!$A$5:$EC$94,C$66,0)</f>
        <v>1.5141150000000001</v>
      </c>
      <c r="D84" s="36">
        <f>VLOOKUP($B84,'MTX PRECIOS'!$A$5:$EC$94,D$66,0)</f>
        <v>7.3515119999999996</v>
      </c>
      <c r="E84" s="37">
        <f t="shared" si="1"/>
        <v>147.59383779168036</v>
      </c>
      <c r="F84" s="37">
        <f t="shared" si="2"/>
        <v>112.51682813719637</v>
      </c>
      <c r="G84" s="47">
        <f t="shared" si="4"/>
        <v>3.5744848518429517E-2</v>
      </c>
      <c r="H84" s="47">
        <f t="shared" si="5"/>
        <v>6.3346345005144133E-3</v>
      </c>
      <c r="I84" s="47">
        <f t="shared" si="6"/>
        <v>0.41510146666563308</v>
      </c>
      <c r="J84" s="47">
        <f t="shared" si="7"/>
        <v>7.3563497425328667E-2</v>
      </c>
      <c r="K84" s="53">
        <f t="shared" si="8"/>
        <v>31</v>
      </c>
      <c r="L84" s="47">
        <f t="shared" si="9"/>
        <v>0.50358879436772019</v>
      </c>
      <c r="M84" s="47">
        <f t="shared" si="10"/>
        <v>7.6087176828516734E-2</v>
      </c>
    </row>
    <row r="85" spans="1:13" s="1" customFormat="1" x14ac:dyDescent="0.35">
      <c r="A85" s="33">
        <f t="shared" si="3"/>
        <v>16</v>
      </c>
      <c r="B85" s="34">
        <f>VLOOKUP(B84,'MTX PRECIOS'!$EB$5:$EC$94,2,0)</f>
        <v>45898</v>
      </c>
      <c r="C85" s="35">
        <f>VLOOKUP($B85,'MTX PRECIOS'!$A$5:$EC$94,C$66,0)</f>
        <v>1.5160750000000001</v>
      </c>
      <c r="D85" s="36">
        <f>VLOOKUP($B85,'MTX PRECIOS'!$A$5:$EC$94,D$66,0)</f>
        <v>7.3983460000000001</v>
      </c>
      <c r="E85" s="37">
        <f t="shared" si="1"/>
        <v>147.78489588308798</v>
      </c>
      <c r="F85" s="37">
        <f t="shared" si="2"/>
        <v>113.23363484702388</v>
      </c>
      <c r="G85" s="47">
        <f t="shared" si="4"/>
        <v>1.2944855575698355E-3</v>
      </c>
      <c r="H85" s="47">
        <f t="shared" si="5"/>
        <v>6.3706622528807433E-3</v>
      </c>
      <c r="I85" s="47">
        <f t="shared" si="6"/>
        <v>1.606947588707382E-2</v>
      </c>
      <c r="J85" s="47">
        <f t="shared" si="7"/>
        <v>7.9084083139209227E-2</v>
      </c>
      <c r="K85" s="53">
        <f t="shared" si="8"/>
        <v>29</v>
      </c>
      <c r="L85" s="47">
        <f t="shared" si="9"/>
        <v>1.6188724128998855E-2</v>
      </c>
      <c r="M85" s="47">
        <f t="shared" si="10"/>
        <v>8.2023867584083643E-2</v>
      </c>
    </row>
    <row r="86" spans="1:13" s="1" customFormat="1" x14ac:dyDescent="0.35">
      <c r="A86" s="33">
        <f t="shared" si="3"/>
        <v>17</v>
      </c>
      <c r="B86" s="34">
        <f>VLOOKUP(B85,'MTX PRECIOS'!$EB$5:$EC$94,2,0)</f>
        <v>45930</v>
      </c>
      <c r="C86" s="35">
        <f>VLOOKUP($B86,'MTX PRECIOS'!$A$5:$EC$94,C$66,0)</f>
        <v>1.575885</v>
      </c>
      <c r="D86" s="36">
        <f>VLOOKUP($B86,'MTX PRECIOS'!$A$5:$EC$94,D$66,0)</f>
        <v>7.4433379999999998</v>
      </c>
      <c r="E86" s="37">
        <f t="shared" si="1"/>
        <v>153.61509202956324</v>
      </c>
      <c r="F86" s="37">
        <f t="shared" si="2"/>
        <v>113.92224926152103</v>
      </c>
      <c r="G86" s="47">
        <f t="shared" si="4"/>
        <v>3.9450554886796496E-2</v>
      </c>
      <c r="H86" s="47">
        <f t="shared" si="5"/>
        <v>6.081359265976527E-3</v>
      </c>
      <c r="I86" s="47">
        <f t="shared" si="6"/>
        <v>0.44381874247646058</v>
      </c>
      <c r="J86" s="47">
        <f t="shared" si="7"/>
        <v>6.8415291742235929E-2</v>
      </c>
      <c r="K86" s="53">
        <f t="shared" si="8"/>
        <v>32</v>
      </c>
      <c r="L86" s="47">
        <f t="shared" si="9"/>
        <v>0.54540797279614828</v>
      </c>
      <c r="M86" s="47">
        <f t="shared" si="10"/>
        <v>7.058807717114135E-2</v>
      </c>
    </row>
    <row r="87" spans="1:13" s="1" customFormat="1" x14ac:dyDescent="0.35">
      <c r="A87" s="33">
        <f t="shared" si="3"/>
        <v>18</v>
      </c>
      <c r="B87" s="34">
        <f>VLOOKUP(B86,'MTX PRECIOS'!$EB$5:$EC$94,2,0)</f>
        <v>45961</v>
      </c>
      <c r="C87" s="35">
        <f>VLOOKUP($B87,'MTX PRECIOS'!$A$5:$EC$94,C$66,0)</f>
        <v>1.678207</v>
      </c>
      <c r="D87" s="36">
        <f>VLOOKUP($B87,'MTX PRECIOS'!$A$5:$EC$94,D$66,0)</f>
        <v>7.4909410000000003</v>
      </c>
      <c r="E87" s="37">
        <f t="shared" si="1"/>
        <v>163.58929918722319</v>
      </c>
      <c r="F87" s="37">
        <f t="shared" si="2"/>
        <v>114.65082571896477</v>
      </c>
      <c r="G87" s="47">
        <f t="shared" si="4"/>
        <v>6.4929864806124726E-2</v>
      </c>
      <c r="H87" s="47">
        <f t="shared" si="5"/>
        <v>6.3953833616048339E-3</v>
      </c>
      <c r="I87" s="47">
        <f t="shared" si="6"/>
        <v>0.75402423645822259</v>
      </c>
      <c r="J87" s="47">
        <f t="shared" si="7"/>
        <v>7.4268968070249686E-2</v>
      </c>
      <c r="K87" s="53">
        <f t="shared" si="8"/>
        <v>31</v>
      </c>
      <c r="L87" s="47">
        <f t="shared" si="9"/>
        <v>1.0762335512062657</v>
      </c>
      <c r="M87" s="47">
        <f t="shared" si="10"/>
        <v>7.6841787784740045E-2</v>
      </c>
    </row>
    <row r="88" spans="1:13" s="1" customFormat="1" x14ac:dyDescent="0.35">
      <c r="A88" s="33">
        <f t="shared" si="3"/>
        <v>19</v>
      </c>
      <c r="B88" s="34">
        <f>VLOOKUP(B87,'MTX PRECIOS'!$EB$5:$EC$94,2,0)</f>
        <v>45989</v>
      </c>
      <c r="C88" s="35">
        <f>VLOOKUP($B88,'MTX PRECIOS'!$A$5:$EC$94,C$66,0)</f>
        <v>1.601172</v>
      </c>
      <c r="D88" s="36">
        <f>VLOOKUP($B88,'MTX PRECIOS'!$A$5:$EC$94,D$66,0)</f>
        <v>7.529185</v>
      </c>
      <c r="E88" s="37">
        <f t="shared" si="1"/>
        <v>156.08003384457612</v>
      </c>
      <c r="F88" s="37">
        <f t="shared" si="2"/>
        <v>115.23616021549813</v>
      </c>
      <c r="G88" s="47">
        <f t="shared" si="4"/>
        <v>-4.590315735782291E-2</v>
      </c>
      <c r="H88" s="47">
        <f t="shared" si="5"/>
        <v>5.1053666021398936E-3</v>
      </c>
      <c r="I88" s="47">
        <f t="shared" si="6"/>
        <v>-0.59018345174343734</v>
      </c>
      <c r="J88" s="47">
        <f t="shared" si="7"/>
        <v>6.5640427741798638E-2</v>
      </c>
      <c r="K88" s="53">
        <f t="shared" si="8"/>
        <v>28</v>
      </c>
      <c r="L88" s="47">
        <f t="shared" si="9"/>
        <v>-0.45346582268338764</v>
      </c>
      <c r="M88" s="47">
        <f t="shared" si="10"/>
        <v>6.7664376187962061E-2</v>
      </c>
    </row>
    <row r="89" spans="1:13" s="1" customFormat="1" x14ac:dyDescent="0.35">
      <c r="A89" s="33">
        <f t="shared" si="3"/>
        <v>20</v>
      </c>
      <c r="B89" s="34">
        <f>VLOOKUP(B88,'MTX PRECIOS'!$EB$5:$EC$94,2,0)</f>
        <v>46022</v>
      </c>
      <c r="C89" s="35">
        <f>VLOOKUP($B89,'MTX PRECIOS'!$A$5:$EC$94,C$66,0)</f>
        <v>1.572751</v>
      </c>
      <c r="D89" s="36">
        <f>VLOOKUP($B89,'MTX PRECIOS'!$A$5:$EC$94,D$66,0)</f>
        <v>7.572298</v>
      </c>
      <c r="E89" s="37">
        <f t="shared" si="1"/>
        <v>153.30959404054713</v>
      </c>
      <c r="F89" s="37">
        <f t="shared" si="2"/>
        <v>115.89601603991615</v>
      </c>
      <c r="G89" s="47">
        <f t="shared" si="4"/>
        <v>-1.7750123034876997E-2</v>
      </c>
      <c r="H89" s="47">
        <f t="shared" si="5"/>
        <v>5.7261177670624441E-3</v>
      </c>
      <c r="I89" s="47">
        <f t="shared" si="6"/>
        <v>-0.1936377058350218</v>
      </c>
      <c r="J89" s="47">
        <f t="shared" si="7"/>
        <v>6.2466739277044846E-2</v>
      </c>
      <c r="K89" s="53">
        <f t="shared" si="8"/>
        <v>33</v>
      </c>
      <c r="L89" s="47">
        <f t="shared" si="9"/>
        <v>-0.17747537969756799</v>
      </c>
      <c r="M89" s="47">
        <f t="shared" si="10"/>
        <v>6.4269419981247244E-2</v>
      </c>
    </row>
    <row r="90" spans="1:13" s="1" customFormat="1" x14ac:dyDescent="0.35">
      <c r="A90" s="33">
        <f t="shared" si="3"/>
        <v>21</v>
      </c>
      <c r="B90" s="34">
        <f>VLOOKUP(B89,'MTX PRECIOS'!$EB$5:$EC$94,2,0)</f>
        <v>46052</v>
      </c>
      <c r="C90" s="35">
        <f>VLOOKUP($B90,'MTX PRECIOS'!$A$5:$EC$94,C$66,0)</f>
        <v>1.5301800000000001</v>
      </c>
      <c r="D90" s="36">
        <f>VLOOKUP($B90,'MTX PRECIOS'!$A$5:$EC$94,D$66,0)</f>
        <v>7.6141040000000002</v>
      </c>
      <c r="E90" s="37">
        <f t="shared" si="1"/>
        <v>149.15983179089659</v>
      </c>
      <c r="F90" s="37">
        <f t="shared" si="2"/>
        <v>116.53586788496567</v>
      </c>
      <c r="G90" s="47">
        <f t="shared" si="4"/>
        <v>-2.7067857531166695E-2</v>
      </c>
      <c r="H90" s="47">
        <f t="shared" si="5"/>
        <v>5.5209132023066321E-3</v>
      </c>
      <c r="I90" s="47">
        <f t="shared" si="6"/>
        <v>-0.32481429037400034</v>
      </c>
      <c r="J90" s="47">
        <f t="shared" si="7"/>
        <v>6.6250958427679585E-2</v>
      </c>
      <c r="K90" s="53">
        <f t="shared" si="8"/>
        <v>30</v>
      </c>
      <c r="L90" s="47">
        <f t="shared" si="9"/>
        <v>-0.2805665682167251</v>
      </c>
      <c r="M90" s="47">
        <f t="shared" si="10"/>
        <v>6.8300155873442625E-2</v>
      </c>
    </row>
    <row r="91" spans="1:13" s="1" customFormat="1" x14ac:dyDescent="0.35">
      <c r="A91" s="33">
        <f t="shared" si="3"/>
        <v>22</v>
      </c>
      <c r="B91" s="34">
        <f>VLOOKUP(B90,'MTX PRECIOS'!$EB$5:$EC$94,2,0)</f>
        <v>46080</v>
      </c>
      <c r="C91" s="35">
        <f>VLOOKUP($B91,'MTX PRECIOS'!$A$5:$EC$94,C$66,0)</f>
        <v>1.475978</v>
      </c>
      <c r="D91" s="67">
        <f>VLOOKUP($B91,'MTX PRECIOS'!$A$5:$EC$94,D$66,0)</f>
        <v>7.6493799999999998</v>
      </c>
      <c r="E91" s="37">
        <f t="shared" si="1"/>
        <v>143.87629573453054</v>
      </c>
      <c r="F91" s="37">
        <f t="shared" si="2"/>
        <v>117.07577635949004</v>
      </c>
      <c r="G91" s="47">
        <f t="shared" si="4"/>
        <v>-3.5421976499496854E-2</v>
      </c>
      <c r="H91" s="47">
        <f t="shared" si="5"/>
        <v>4.632981109792933E-3</v>
      </c>
      <c r="I91" s="47">
        <f t="shared" si="6"/>
        <v>-0.4554254121363881</v>
      </c>
      <c r="J91" s="47">
        <f t="shared" si="7"/>
        <v>5.9566899983051994E-2</v>
      </c>
      <c r="K91" s="53">
        <f t="shared" si="8"/>
        <v>28</v>
      </c>
      <c r="L91" s="47">
        <f t="shared" si="9"/>
        <v>-0.3710396940650913</v>
      </c>
      <c r="M91" s="47">
        <f t="shared" si="10"/>
        <v>6.1230770212283181E-2</v>
      </c>
    </row>
    <row r="92" spans="1:13" s="1" customFormat="1" x14ac:dyDescent="0.35">
      <c r="A92" s="33">
        <f t="shared" si="3"/>
        <v>23</v>
      </c>
      <c r="B92" s="34">
        <f>VLOOKUP(B91,'MTX PRECIOS'!$EB$5:$EC$94,2,0)</f>
        <v>46112</v>
      </c>
      <c r="C92" s="35">
        <f>VLOOKUP($B92,'MTX PRECIOS'!$A$5:$EC$94,C$66,0)</f>
        <v>1.4710589999999999</v>
      </c>
      <c r="D92" s="36">
        <f>VLOOKUP($B92,'MTX PRECIOS'!$A$5:$EC$94,D$66,0)</f>
        <v>7.684456</v>
      </c>
      <c r="E92" s="37">
        <f t="shared" si="1"/>
        <v>143.39679841226817</v>
      </c>
      <c r="F92" s="37">
        <f t="shared" si="2"/>
        <v>117.61262378131839</v>
      </c>
      <c r="G92" s="47">
        <f t="shared" si="4"/>
        <v>-3.3327055010305973E-3</v>
      </c>
      <c r="H92" s="47">
        <f t="shared" si="5"/>
        <v>4.5854696720517563E-3</v>
      </c>
      <c r="I92" s="47">
        <f t="shared" si="6"/>
        <v>-3.7492936886594219E-2</v>
      </c>
      <c r="J92" s="47">
        <f t="shared" si="7"/>
        <v>5.1586533810582258E-2</v>
      </c>
      <c r="K92" s="53">
        <f t="shared" si="8"/>
        <v>32</v>
      </c>
      <c r="L92" s="47">
        <f t="shared" si="9"/>
        <v>-3.6859088654135785E-2</v>
      </c>
      <c r="M92" s="47">
        <f t="shared" si="10"/>
        <v>5.2816148287762266E-2</v>
      </c>
    </row>
    <row r="93" spans="1:13" s="1" customFormat="1" x14ac:dyDescent="0.35">
      <c r="A93" s="33">
        <f t="shared" si="3"/>
        <v>24</v>
      </c>
      <c r="B93" s="34">
        <f>VLOOKUP(B92,'MTX PRECIOS'!$EB$5:$EC$94,2,0)</f>
        <v>46142</v>
      </c>
      <c r="C93" s="35">
        <f>VLOOKUP($B93,'MTX PRECIOS'!$A$5:$EC$94,C$66,0)</f>
        <v>1.659861</v>
      </c>
      <c r="D93" s="36">
        <f>VLOOKUP($B93,'MTX PRECIOS'!$A$5:$EC$94,D$66,0)</f>
        <v>7.7273480000000001</v>
      </c>
      <c r="E93" s="37">
        <f t="shared" si="1"/>
        <v>161.80095646020038</v>
      </c>
      <c r="F93" s="37">
        <f t="shared" si="2"/>
        <v>118.26909714250729</v>
      </c>
      <c r="G93" s="47">
        <f t="shared" si="4"/>
        <v>0.12834427443086938</v>
      </c>
      <c r="H93" s="47">
        <f t="shared" si="5"/>
        <v>5.5816573092486443E-3</v>
      </c>
      <c r="I93" s="47">
        <f t="shared" si="6"/>
        <v>1.5401312931704325</v>
      </c>
      <c r="J93" s="47">
        <f t="shared" si="7"/>
        <v>6.6979887710983732E-2</v>
      </c>
      <c r="K93" s="53">
        <f t="shared" si="8"/>
        <v>30</v>
      </c>
      <c r="L93" s="47">
        <f t="shared" si="9"/>
        <v>3.2589207029177842</v>
      </c>
      <c r="M93" s="47">
        <f t="shared" si="10"/>
        <v>6.9074852892074823E-2</v>
      </c>
    </row>
    <row r="94" spans="1:13" s="1" customFormat="1" x14ac:dyDescent="0.35">
      <c r="A94" s="63" t="s">
        <v>264</v>
      </c>
      <c r="B94" s="25"/>
      <c r="C94" s="64">
        <f>+C93/C69-1</f>
        <v>0.61800956460200474</v>
      </c>
      <c r="D94" s="77">
        <f t="shared" ref="D94:F94" si="11">+D93/D69-1</f>
        <v>0.18269097142507307</v>
      </c>
      <c r="E94" s="64">
        <f t="shared" si="11"/>
        <v>0.61800956460200385</v>
      </c>
      <c r="F94" s="77">
        <f t="shared" si="11"/>
        <v>0.18269097142507285</v>
      </c>
      <c r="G94" s="60">
        <f>+C93/C69-1</f>
        <v>0.61800956460200474</v>
      </c>
      <c r="H94" s="60">
        <f>+D93/D69-1</f>
        <v>0.18269097142507307</v>
      </c>
      <c r="I94" s="60">
        <f>+(C93/C69-1)*(360/K94)</f>
        <v>0.30477184007770097</v>
      </c>
      <c r="J94" s="60">
        <f>+(D93/D69-1)*(360/K94)</f>
        <v>9.0094177689077126E-2</v>
      </c>
      <c r="K94" s="62">
        <f>SUM(K70:K93)</f>
        <v>730</v>
      </c>
      <c r="L94" s="101">
        <f>+((C93/C69)^(360/$K94))-1</f>
        <v>0.26782457288288919</v>
      </c>
      <c r="M94" s="101">
        <f>+((D93/D69)^(360/$K94))-1</f>
        <v>8.626684035369947E-2</v>
      </c>
    </row>
    <row r="95" spans="1:13" s="1" customFormat="1" x14ac:dyDescent="0.35">
      <c r="A95" s="1" t="s">
        <v>192</v>
      </c>
    </row>
    <row r="96" spans="1:13" s="1" customFormat="1" x14ac:dyDescent="0.35">
      <c r="A96" s="1" t="s">
        <v>180</v>
      </c>
    </row>
    <row r="97" s="99" customFormat="1" x14ac:dyDescent="0.35"/>
    <row r="98" s="99" customFormat="1" x14ac:dyDescent="0.35"/>
    <row r="99" s="99" customFormat="1" x14ac:dyDescent="0.35"/>
    <row r="100" s="99" customFormat="1" x14ac:dyDescent="0.35"/>
    <row r="101" s="99" customFormat="1" x14ac:dyDescent="0.35"/>
    <row r="102" s="99" customFormat="1" x14ac:dyDescent="0.35"/>
    <row r="103" s="99" customFormat="1" x14ac:dyDescent="0.35"/>
    <row r="104" s="99" customFormat="1" x14ac:dyDescent="0.35"/>
    <row r="105" s="99" customFormat="1" x14ac:dyDescent="0.35"/>
    <row r="106" s="99" customFormat="1" x14ac:dyDescent="0.35"/>
    <row r="107" s="99" customFormat="1" x14ac:dyDescent="0.35"/>
    <row r="108" s="99" customFormat="1" x14ac:dyDescent="0.35"/>
    <row r="109" s="99" customFormat="1" x14ac:dyDescent="0.35"/>
    <row r="110" s="99" customFormat="1" x14ac:dyDescent="0.35"/>
    <row r="111" s="99" customFormat="1" x14ac:dyDescent="0.35"/>
    <row r="112" s="99" customFormat="1" x14ac:dyDescent="0.35"/>
    <row r="113" s="99" customFormat="1" x14ac:dyDescent="0.35"/>
    <row r="114" s="99" customFormat="1" x14ac:dyDescent="0.35"/>
    <row r="115" s="99" customFormat="1" x14ac:dyDescent="0.35"/>
    <row r="116" s="99" customFormat="1" x14ac:dyDescent="0.35"/>
    <row r="117" s="99" customFormat="1" x14ac:dyDescent="0.35"/>
    <row r="118" s="99" customFormat="1" x14ac:dyDescent="0.35"/>
    <row r="119" s="99" customFormat="1" x14ac:dyDescent="0.35"/>
    <row r="120" s="99" customFormat="1" x14ac:dyDescent="0.35"/>
    <row r="121" s="99" customFormat="1" x14ac:dyDescent="0.35"/>
    <row r="122" s="99" customFormat="1" x14ac:dyDescent="0.35"/>
    <row r="123" s="99" customFormat="1" x14ac:dyDescent="0.35"/>
    <row r="124" s="99" customFormat="1" x14ac:dyDescent="0.35"/>
    <row r="125" s="99" customFormat="1" x14ac:dyDescent="0.35"/>
    <row r="126" s="99" customFormat="1" x14ac:dyDescent="0.35"/>
    <row r="127" s="99" customFormat="1" x14ac:dyDescent="0.35"/>
    <row r="128" s="99" customFormat="1" x14ac:dyDescent="0.35"/>
    <row r="129" s="99" customFormat="1" x14ac:dyDescent="0.35"/>
    <row r="130" s="99" customFormat="1" x14ac:dyDescent="0.35"/>
    <row r="131" s="99" customFormat="1" x14ac:dyDescent="0.35"/>
    <row r="132" s="99" customFormat="1" x14ac:dyDescent="0.35"/>
    <row r="133" s="99" customFormat="1" x14ac:dyDescent="0.35"/>
    <row r="134" s="99" customFormat="1" x14ac:dyDescent="0.35"/>
    <row r="135" s="99" customFormat="1" x14ac:dyDescent="0.35"/>
    <row r="136" s="99" customFormat="1" x14ac:dyDescent="0.35"/>
    <row r="137" s="99" customFormat="1" x14ac:dyDescent="0.35"/>
    <row r="138" s="99" customFormat="1" x14ac:dyDescent="0.35"/>
    <row r="139" s="99" customFormat="1" x14ac:dyDescent="0.35"/>
    <row r="140" s="99" customFormat="1" x14ac:dyDescent="0.35"/>
    <row r="141" s="99" customFormat="1" x14ac:dyDescent="0.35"/>
    <row r="142" s="99" customFormat="1" x14ac:dyDescent="0.35"/>
    <row r="143" s="99" customFormat="1" x14ac:dyDescent="0.35"/>
    <row r="144" s="99" customFormat="1" x14ac:dyDescent="0.35"/>
    <row r="145" s="99" customFormat="1" x14ac:dyDescent="0.35"/>
    <row r="146" s="99" customFormat="1" x14ac:dyDescent="0.35"/>
    <row r="147" s="99" customFormat="1" x14ac:dyDescent="0.35"/>
    <row r="148" s="99" customFormat="1" x14ac:dyDescent="0.35"/>
    <row r="149" s="99" customFormat="1" x14ac:dyDescent="0.35"/>
    <row r="150" s="99" customFormat="1" x14ac:dyDescent="0.35"/>
    <row r="151" s="99" customFormat="1" x14ac:dyDescent="0.35"/>
    <row r="152" s="99" customFormat="1" x14ac:dyDescent="0.35"/>
    <row r="153" s="99" customFormat="1" x14ac:dyDescent="0.35"/>
    <row r="154" s="99" customFormat="1" x14ac:dyDescent="0.35"/>
    <row r="155" s="99" customFormat="1" x14ac:dyDescent="0.35"/>
    <row r="156" s="99" customFormat="1" x14ac:dyDescent="0.35"/>
    <row r="157" s="99" customFormat="1" x14ac:dyDescent="0.35"/>
    <row r="158" s="99" customFormat="1" x14ac:dyDescent="0.35"/>
    <row r="159" s="99" customFormat="1" x14ac:dyDescent="0.35"/>
    <row r="160" s="99" customFormat="1" x14ac:dyDescent="0.35"/>
    <row r="161" s="99" customFormat="1" x14ac:dyDescent="0.35"/>
    <row r="162" s="99" customFormat="1" x14ac:dyDescent="0.35"/>
    <row r="163" s="99" customFormat="1" x14ac:dyDescent="0.35"/>
    <row r="164" s="99" customFormat="1" x14ac:dyDescent="0.35"/>
    <row r="165" s="99" customFormat="1" x14ac:dyDescent="0.35"/>
    <row r="166" s="99" customFormat="1" x14ac:dyDescent="0.35"/>
    <row r="167" s="99" customFormat="1" x14ac:dyDescent="0.35"/>
    <row r="168" s="99" customFormat="1" x14ac:dyDescent="0.35"/>
    <row r="169" s="99" customFormat="1" x14ac:dyDescent="0.35"/>
    <row r="170" s="99" customFormat="1" x14ac:dyDescent="0.35"/>
    <row r="171" s="99" customFormat="1" x14ac:dyDescent="0.35"/>
    <row r="172" s="99" customFormat="1" x14ac:dyDescent="0.35"/>
    <row r="173" s="99" customFormat="1" x14ac:dyDescent="0.35"/>
    <row r="174" s="99" customFormat="1" x14ac:dyDescent="0.35"/>
    <row r="175" s="99" customFormat="1" x14ac:dyDescent="0.35"/>
    <row r="176" s="99" customFormat="1" x14ac:dyDescent="0.35"/>
    <row r="177" s="99" customFormat="1" x14ac:dyDescent="0.35"/>
    <row r="178" s="99" customFormat="1" x14ac:dyDescent="0.35"/>
    <row r="179" s="99" customFormat="1" x14ac:dyDescent="0.35"/>
    <row r="180" s="99" customFormat="1" x14ac:dyDescent="0.35"/>
    <row r="181" s="99" customFormat="1" x14ac:dyDescent="0.35"/>
    <row r="182" s="99" customFormat="1" x14ac:dyDescent="0.35"/>
    <row r="183" s="99" customFormat="1" x14ac:dyDescent="0.35"/>
    <row r="184" s="99" customFormat="1" x14ac:dyDescent="0.35"/>
    <row r="185" s="99" customFormat="1" x14ac:dyDescent="0.35"/>
    <row r="186" s="99" customFormat="1" x14ac:dyDescent="0.35"/>
    <row r="187" s="99" customFormat="1" x14ac:dyDescent="0.35"/>
    <row r="188" s="99" customFormat="1" x14ac:dyDescent="0.35"/>
    <row r="189" s="99" customFormat="1" x14ac:dyDescent="0.35"/>
    <row r="190" s="99" customFormat="1" x14ac:dyDescent="0.35"/>
    <row r="191" s="99" customFormat="1" x14ac:dyDescent="0.35"/>
    <row r="192" s="99" customFormat="1" x14ac:dyDescent="0.35"/>
    <row r="193" s="99" customFormat="1" x14ac:dyDescent="0.35"/>
    <row r="194" s="99" customFormat="1" x14ac:dyDescent="0.35"/>
    <row r="195" s="99" customFormat="1" x14ac:dyDescent="0.35"/>
    <row r="196" s="99" customFormat="1" x14ac:dyDescent="0.35"/>
    <row r="197" s="99" customFormat="1" x14ac:dyDescent="0.35"/>
    <row r="198" s="99" customFormat="1" x14ac:dyDescent="0.35"/>
    <row r="199" s="99" customFormat="1" x14ac:dyDescent="0.35"/>
    <row r="200" s="99" customFormat="1" x14ac:dyDescent="0.35"/>
    <row r="201" s="99" customFormat="1" x14ac:dyDescent="0.35"/>
    <row r="202" s="99" customFormat="1" x14ac:dyDescent="0.35"/>
    <row r="203" s="99" customFormat="1" x14ac:dyDescent="0.35"/>
    <row r="204" s="99" customFormat="1" x14ac:dyDescent="0.35"/>
    <row r="205" s="99" customFormat="1" x14ac:dyDescent="0.35"/>
    <row r="206" s="99" customFormat="1" x14ac:dyDescent="0.35"/>
    <row r="207" s="99" customFormat="1" x14ac:dyDescent="0.35"/>
    <row r="208" s="99" customFormat="1" x14ac:dyDescent="0.35"/>
    <row r="209" s="99" customFormat="1" x14ac:dyDescent="0.35"/>
    <row r="210" s="99" customFormat="1" x14ac:dyDescent="0.35"/>
    <row r="211" s="99" customFormat="1" x14ac:dyDescent="0.35"/>
    <row r="212" s="99" customFormat="1" x14ac:dyDescent="0.35"/>
    <row r="213" s="99" customFormat="1" x14ac:dyDescent="0.35"/>
    <row r="214" s="99" customFormat="1" x14ac:dyDescent="0.35"/>
    <row r="215" s="99" customFormat="1" x14ac:dyDescent="0.35"/>
    <row r="216" s="99" customFormat="1" x14ac:dyDescent="0.35"/>
    <row r="217" s="99" customFormat="1" x14ac:dyDescent="0.35"/>
    <row r="218" s="99" customFormat="1" x14ac:dyDescent="0.35"/>
    <row r="219" s="99" customFormat="1" x14ac:dyDescent="0.35"/>
    <row r="220" s="99" customFormat="1" x14ac:dyDescent="0.35"/>
    <row r="221" s="99" customFormat="1" x14ac:dyDescent="0.35"/>
    <row r="222" s="99" customFormat="1" x14ac:dyDescent="0.35"/>
    <row r="223" s="99" customFormat="1" x14ac:dyDescent="0.35"/>
    <row r="224" s="99" customFormat="1" x14ac:dyDescent="0.35"/>
    <row r="225" spans="1:12" s="99" customFormat="1" x14ac:dyDescent="0.35"/>
    <row r="226" spans="1:12" s="99" customFormat="1" x14ac:dyDescent="0.35"/>
    <row r="227" spans="1:12" s="99" customFormat="1" x14ac:dyDescent="0.35"/>
    <row r="228" spans="1:12" s="99" customFormat="1" x14ac:dyDescent="0.35"/>
    <row r="229" spans="1:12" s="99" customFormat="1" x14ac:dyDescent="0.35"/>
    <row r="230" spans="1:12" s="1" customFormat="1" x14ac:dyDescent="0.35"/>
    <row r="231" spans="1:12" s="1" customFormat="1" hidden="1" x14ac:dyDescent="0.35"/>
    <row r="232" spans="1:12" s="1" customFormat="1" hidden="1" x14ac:dyDescent="0.35">
      <c r="F232" s="75" t="s">
        <v>196</v>
      </c>
      <c r="G232" s="47">
        <f>+AVERAGE(G70:G93)</f>
        <v>2.1597202507140662E-2</v>
      </c>
      <c r="H232" s="47">
        <f t="shared" ref="H232:J232" si="12">+AVERAGE(H70:H93)</f>
        <v>7.0168573069923816E-3</v>
      </c>
      <c r="I232" s="47">
        <f t="shared" si="12"/>
        <v>0.25719538441411466</v>
      </c>
      <c r="J232" s="47">
        <f t="shared" si="12"/>
        <v>8.3109066259706418E-2</v>
      </c>
    </row>
    <row r="233" spans="1:12" s="1" customFormat="1" hidden="1" x14ac:dyDescent="0.35">
      <c r="F233" s="75" t="s">
        <v>197</v>
      </c>
      <c r="G233" s="47">
        <f>+STDEV(G70:G93)</f>
        <v>5.3748183250190512E-2</v>
      </c>
      <c r="H233" s="47">
        <f t="shared" ref="H233:J233" si="13">+STDEV(H70:H93)</f>
        <v>1.4597059007673914E-3</v>
      </c>
      <c r="I233" s="47">
        <f t="shared" si="13"/>
        <v>0.65638733936843274</v>
      </c>
      <c r="J233" s="47">
        <f t="shared" si="13"/>
        <v>1.7107898028593544E-2</v>
      </c>
    </row>
    <row r="234" spans="1:12" s="1" customFormat="1" hidden="1" x14ac:dyDescent="0.35">
      <c r="F234" s="75" t="s">
        <v>198</v>
      </c>
      <c r="G234" s="76">
        <f>IF(G232&gt;0,(G233/G232), )</f>
        <v>2.4886641328857197</v>
      </c>
      <c r="H234" s="76">
        <f t="shared" ref="H234:J234" si="14">IF(H232&gt;0,(H233/H232), )</f>
        <v>0.20802844306279067</v>
      </c>
      <c r="I234" s="76">
        <f t="shared" si="14"/>
        <v>2.5520961072597337</v>
      </c>
      <c r="J234" s="76">
        <f t="shared" si="14"/>
        <v>0.20584875752463996</v>
      </c>
    </row>
    <row r="235" spans="1:12" s="1" customFormat="1" hidden="1" x14ac:dyDescent="0.35">
      <c r="D235" s="136" t="str">
        <f>TEXT(E93,"$#,###.00")</f>
        <v>$161.80</v>
      </c>
      <c r="E235" s="137" t="str">
        <f>TEXT(F93,"$#,###.00")</f>
        <v>$118.27</v>
      </c>
      <c r="J235" s="25"/>
      <c r="K235" s="26"/>
      <c r="L235" s="26"/>
    </row>
    <row r="236" spans="1:12" hidden="1" x14ac:dyDescent="0.35">
      <c r="A236" t="s">
        <v>25</v>
      </c>
      <c r="B236" t="s">
        <v>169</v>
      </c>
    </row>
    <row r="237" spans="1:12" hidden="1" x14ac:dyDescent="0.35">
      <c r="A237" t="s">
        <v>0</v>
      </c>
      <c r="B237" s="23">
        <f>VLOOKUP(A237,'MTX CARAC'!$A$4:$W$131,15,0)</f>
        <v>45289</v>
      </c>
      <c r="C237" s="23"/>
    </row>
    <row r="238" spans="1:12" hidden="1" x14ac:dyDescent="0.35">
      <c r="A238" t="s">
        <v>1</v>
      </c>
      <c r="B238" s="23">
        <f>VLOOKUP(A238,'MTX CARAC'!$A$4:$W$131,15,0)</f>
        <v>45289</v>
      </c>
      <c r="C238" s="23"/>
    </row>
    <row r="239" spans="1:12" hidden="1" x14ac:dyDescent="0.35">
      <c r="A239" t="s">
        <v>151</v>
      </c>
      <c r="B239" s="23">
        <f>VLOOKUP(A239,'MTX CARAC'!$A$4:$W$131,15,0)</f>
        <v>45289</v>
      </c>
      <c r="C239" s="23"/>
    </row>
    <row r="240" spans="1:12" hidden="1" x14ac:dyDescent="0.35">
      <c r="A240" t="s">
        <v>2</v>
      </c>
      <c r="B240" s="23">
        <f>VLOOKUP(A240,'MTX CARAC'!$A$4:$W$131,15,0)</f>
        <v>45289</v>
      </c>
      <c r="C240" s="23"/>
    </row>
    <row r="241" spans="1:3" hidden="1" x14ac:dyDescent="0.35">
      <c r="A241" t="s">
        <v>84</v>
      </c>
      <c r="B241" s="22">
        <f>VLOOKUP(A241,'MTX CARAC'!$A$4:$W$131,15,0)</f>
        <v>45289</v>
      </c>
      <c r="C241" s="22"/>
    </row>
    <row r="242" spans="1:3" hidden="1" x14ac:dyDescent="0.35">
      <c r="A242" t="s">
        <v>85</v>
      </c>
      <c r="B242" s="22">
        <f>VLOOKUP(A242,'MTX CARAC'!$A$4:$W$131,15,0)</f>
        <v>45289</v>
      </c>
      <c r="C242" s="22"/>
    </row>
    <row r="243" spans="1:3" hidden="1" x14ac:dyDescent="0.35">
      <c r="A243" t="s">
        <v>88</v>
      </c>
      <c r="B243" s="22">
        <f>VLOOKUP(A243,'MTX CARAC'!$A$4:$W$131,15,0)</f>
        <v>45289</v>
      </c>
      <c r="C243" s="22"/>
    </row>
    <row r="244" spans="1:3" hidden="1" x14ac:dyDescent="0.35">
      <c r="A244" t="s">
        <v>89</v>
      </c>
      <c r="B244" s="22">
        <f>VLOOKUP(A244,'MTX CARAC'!$A$4:$W$131,15,0)</f>
        <v>45289</v>
      </c>
      <c r="C244" s="22"/>
    </row>
    <row r="245" spans="1:3" hidden="1" x14ac:dyDescent="0.35">
      <c r="A245" t="s">
        <v>90</v>
      </c>
      <c r="B245" s="22">
        <f>VLOOKUP(A245,'MTX CARAC'!$A$4:$W$131,15,0)</f>
        <v>45289</v>
      </c>
      <c r="C245" s="22"/>
    </row>
    <row r="246" spans="1:3" hidden="1" x14ac:dyDescent="0.35">
      <c r="A246" t="s">
        <v>86</v>
      </c>
      <c r="B246" s="22">
        <f>VLOOKUP(A246,'MTX CARAC'!$A$4:$W$131,15,0)</f>
        <v>45289</v>
      </c>
      <c r="C246" s="22"/>
    </row>
    <row r="247" spans="1:3" hidden="1" x14ac:dyDescent="0.35">
      <c r="A247" t="s">
        <v>87</v>
      </c>
      <c r="B247" s="22">
        <f>VLOOKUP(A247,'MTX CARAC'!$A$4:$W$131,15,0)</f>
        <v>45289</v>
      </c>
      <c r="C247" s="22"/>
    </row>
    <row r="248" spans="1:3" hidden="1" x14ac:dyDescent="0.35">
      <c r="A248" t="s">
        <v>92</v>
      </c>
      <c r="B248" s="22">
        <f>VLOOKUP(A248,'MTX CARAC'!$A$4:$W$131,15,0)</f>
        <v>45289</v>
      </c>
      <c r="C248" s="22"/>
    </row>
    <row r="249" spans="1:3" hidden="1" x14ac:dyDescent="0.35">
      <c r="A249" t="s">
        <v>93</v>
      </c>
      <c r="B249" s="22">
        <f>VLOOKUP(A249,'MTX CARAC'!$A$4:$W$131,15,0)</f>
        <v>45289</v>
      </c>
      <c r="C249" s="22"/>
    </row>
    <row r="250" spans="1:3" hidden="1" x14ac:dyDescent="0.35">
      <c r="A250" t="s">
        <v>94</v>
      </c>
      <c r="B250" s="22">
        <f>VLOOKUP(A250,'MTX CARAC'!$A$4:$W$131,15,0)</f>
        <v>45289</v>
      </c>
      <c r="C250" s="22"/>
    </row>
    <row r="251" spans="1:3" hidden="1" x14ac:dyDescent="0.35">
      <c r="A251" t="s">
        <v>91</v>
      </c>
      <c r="B251" s="22">
        <f>VLOOKUP(A251,'MTX CARAC'!$A$4:$W$131,15,0)</f>
        <v>45289</v>
      </c>
      <c r="C251" s="22"/>
    </row>
    <row r="252" spans="1:3" hidden="1" x14ac:dyDescent="0.35">
      <c r="A252" t="s">
        <v>114</v>
      </c>
      <c r="B252" s="22">
        <f>VLOOKUP(A252,'MTX CARAC'!$A$4:$W$131,15,0)</f>
        <v>45289</v>
      </c>
      <c r="C252" s="22"/>
    </row>
    <row r="253" spans="1:3" hidden="1" x14ac:dyDescent="0.35">
      <c r="A253" t="s">
        <v>115</v>
      </c>
      <c r="B253" s="22">
        <f>VLOOKUP(A253,'MTX CARAC'!$A$4:$W$131,15,0)</f>
        <v>45289</v>
      </c>
      <c r="C253" s="22"/>
    </row>
    <row r="254" spans="1:3" hidden="1" x14ac:dyDescent="0.35">
      <c r="A254" t="s">
        <v>118</v>
      </c>
      <c r="B254" s="22">
        <f>VLOOKUP(A254,'MTX CARAC'!$A$4:$W$131,15,0)</f>
        <v>45289</v>
      </c>
      <c r="C254" s="22"/>
    </row>
    <row r="255" spans="1:3" hidden="1" x14ac:dyDescent="0.35">
      <c r="A255" t="s">
        <v>119</v>
      </c>
      <c r="B255" s="22">
        <f>VLOOKUP(A255,'MTX CARAC'!$A$4:$W$131,15,0)</f>
        <v>45289</v>
      </c>
      <c r="C255" s="22"/>
    </row>
    <row r="256" spans="1:3" hidden="1" x14ac:dyDescent="0.35">
      <c r="A256" t="s">
        <v>120</v>
      </c>
      <c r="B256" s="22">
        <f>VLOOKUP(A256,'MTX CARAC'!$A$4:$W$131,15,0)</f>
        <v>45289</v>
      </c>
      <c r="C256" s="22"/>
    </row>
    <row r="257" spans="1:3" hidden="1" x14ac:dyDescent="0.35">
      <c r="A257" t="s">
        <v>116</v>
      </c>
      <c r="B257" s="22">
        <f>VLOOKUP(A257,'MTX CARAC'!$A$4:$W$131,15,0)</f>
        <v>45289</v>
      </c>
      <c r="C257" s="22"/>
    </row>
    <row r="258" spans="1:3" hidden="1" x14ac:dyDescent="0.35">
      <c r="A258" t="s">
        <v>117</v>
      </c>
      <c r="B258" s="22">
        <f>VLOOKUP(A258,'MTX CARAC'!$A$4:$W$131,15,0)</f>
        <v>45289</v>
      </c>
      <c r="C258" s="22"/>
    </row>
    <row r="259" spans="1:3" hidden="1" x14ac:dyDescent="0.35">
      <c r="A259" t="s">
        <v>122</v>
      </c>
      <c r="B259" s="22">
        <f>VLOOKUP(A259,'MTX CARAC'!$A$4:$W$131,15,0)</f>
        <v>45289</v>
      </c>
      <c r="C259" s="22"/>
    </row>
    <row r="260" spans="1:3" hidden="1" x14ac:dyDescent="0.35">
      <c r="A260" t="s">
        <v>123</v>
      </c>
      <c r="B260" s="22">
        <f>VLOOKUP(A260,'MTX CARAC'!$A$4:$W$131,15,0)</f>
        <v>45289</v>
      </c>
      <c r="C260" s="22"/>
    </row>
    <row r="261" spans="1:3" hidden="1" x14ac:dyDescent="0.35">
      <c r="A261" t="s">
        <v>124</v>
      </c>
      <c r="B261" s="22">
        <f>VLOOKUP(A261,'MTX CARAC'!$A$4:$W$131,15,0)</f>
        <v>45289</v>
      </c>
      <c r="C261" s="22"/>
    </row>
    <row r="262" spans="1:3" hidden="1" x14ac:dyDescent="0.35">
      <c r="A262" t="s">
        <v>121</v>
      </c>
      <c r="B262" s="22">
        <f>VLOOKUP(A262,'MTX CARAC'!$A$4:$W$131,15,0)</f>
        <v>45289</v>
      </c>
      <c r="C262" s="22"/>
    </row>
    <row r="263" spans="1:3" hidden="1" x14ac:dyDescent="0.35">
      <c r="A263" t="s">
        <v>140</v>
      </c>
      <c r="B263" s="22">
        <f>VLOOKUP(A263,'MTX CARAC'!$A$4:$W$131,15,0)</f>
        <v>45289</v>
      </c>
      <c r="C263" s="22"/>
    </row>
    <row r="264" spans="1:3" hidden="1" x14ac:dyDescent="0.35">
      <c r="A264" t="s">
        <v>134</v>
      </c>
      <c r="B264" s="22">
        <f>VLOOKUP(A264,'MTX CARAC'!$A$4:$W$131,15,0)</f>
        <v>45289</v>
      </c>
      <c r="C264" s="22"/>
    </row>
    <row r="265" spans="1:3" hidden="1" x14ac:dyDescent="0.35">
      <c r="A265" t="s">
        <v>135</v>
      </c>
      <c r="B265" s="22">
        <f>VLOOKUP(A265,'MTX CARAC'!$A$4:$W$131,15,0)</f>
        <v>45289</v>
      </c>
      <c r="C265" s="22"/>
    </row>
    <row r="266" spans="1:3" hidden="1" x14ac:dyDescent="0.35">
      <c r="A266" t="s">
        <v>136</v>
      </c>
      <c r="B266" s="22">
        <f>VLOOKUP(A266,'MTX CARAC'!$A$4:$W$131,15,0)</f>
        <v>45289</v>
      </c>
      <c r="C266" s="22"/>
    </row>
    <row r="267" spans="1:3" hidden="1" x14ac:dyDescent="0.35">
      <c r="A267" t="s">
        <v>137</v>
      </c>
      <c r="B267" s="22">
        <f>VLOOKUP(A267,'MTX CARAC'!$A$4:$W$131,15,0)</f>
        <v>45289</v>
      </c>
      <c r="C267" s="22"/>
    </row>
    <row r="268" spans="1:3" hidden="1" x14ac:dyDescent="0.35">
      <c r="A268" t="s">
        <v>138</v>
      </c>
      <c r="B268" s="22">
        <f>VLOOKUP(A268,'MTX CARAC'!$A$4:$W$131,15,0)</f>
        <v>45289</v>
      </c>
      <c r="C268" s="22"/>
    </row>
    <row r="269" spans="1:3" hidden="1" x14ac:dyDescent="0.35">
      <c r="A269" t="s">
        <v>95</v>
      </c>
      <c r="B269" s="22">
        <f>VLOOKUP(A269,'MTX CARAC'!$A$4:$W$131,15,0)</f>
        <v>45289</v>
      </c>
      <c r="C269" s="22"/>
    </row>
    <row r="270" spans="1:3" hidden="1" x14ac:dyDescent="0.35">
      <c r="A270" t="s">
        <v>96</v>
      </c>
      <c r="B270" s="22">
        <f>VLOOKUP(A270,'MTX CARAC'!$A$4:$W$131,15,0)</f>
        <v>45289</v>
      </c>
      <c r="C270" s="22"/>
    </row>
    <row r="271" spans="1:3" hidden="1" x14ac:dyDescent="0.35">
      <c r="A271" t="s">
        <v>99</v>
      </c>
      <c r="B271" s="22">
        <f>VLOOKUP(A271,'MTX CARAC'!$A$4:$W$131,15,0)</f>
        <v>45289</v>
      </c>
      <c r="C271" s="22"/>
    </row>
    <row r="272" spans="1:3" hidden="1" x14ac:dyDescent="0.35">
      <c r="A272" t="s">
        <v>100</v>
      </c>
      <c r="B272" s="22">
        <f>VLOOKUP(A272,'MTX CARAC'!$A$4:$W$131,15,0)</f>
        <v>45289</v>
      </c>
      <c r="C272" s="22"/>
    </row>
    <row r="273" spans="1:3" hidden="1" x14ac:dyDescent="0.35">
      <c r="A273" t="s">
        <v>101</v>
      </c>
      <c r="B273" s="22">
        <f>VLOOKUP(A273,'MTX CARAC'!$A$4:$W$131,15,0)</f>
        <v>45289</v>
      </c>
      <c r="C273" s="22"/>
    </row>
    <row r="274" spans="1:3" hidden="1" x14ac:dyDescent="0.35">
      <c r="A274" t="s">
        <v>97</v>
      </c>
      <c r="B274" s="22">
        <f>VLOOKUP(A274,'MTX CARAC'!$A$4:$W$131,15,0)</f>
        <v>45289</v>
      </c>
      <c r="C274" s="22"/>
    </row>
    <row r="275" spans="1:3" hidden="1" x14ac:dyDescent="0.35">
      <c r="A275" t="s">
        <v>98</v>
      </c>
      <c r="B275" s="22">
        <f>VLOOKUP(A275,'MTX CARAC'!$A$4:$W$131,15,0)</f>
        <v>45289</v>
      </c>
      <c r="C275" s="22"/>
    </row>
    <row r="276" spans="1:3" hidden="1" x14ac:dyDescent="0.35">
      <c r="A276" t="s">
        <v>103</v>
      </c>
      <c r="B276" s="22">
        <f>VLOOKUP(A276,'MTX CARAC'!$A$4:$W$131,15,0)</f>
        <v>45289</v>
      </c>
      <c r="C276" s="22"/>
    </row>
    <row r="277" spans="1:3" hidden="1" x14ac:dyDescent="0.35">
      <c r="A277" t="s">
        <v>104</v>
      </c>
      <c r="B277" s="22">
        <f>VLOOKUP(A277,'MTX CARAC'!$A$4:$W$131,15,0)</f>
        <v>45289</v>
      </c>
      <c r="C277" s="22"/>
    </row>
    <row r="278" spans="1:3" hidden="1" x14ac:dyDescent="0.35">
      <c r="A278" t="s">
        <v>105</v>
      </c>
      <c r="B278" s="22">
        <f>VLOOKUP(A278,'MTX CARAC'!$A$4:$W$131,15,0)</f>
        <v>45289</v>
      </c>
      <c r="C278" s="22"/>
    </row>
    <row r="279" spans="1:3" hidden="1" x14ac:dyDescent="0.35">
      <c r="A279" t="s">
        <v>102</v>
      </c>
      <c r="B279" s="22">
        <f>VLOOKUP(A279,'MTX CARAC'!$A$4:$W$131,15,0)</f>
        <v>45289</v>
      </c>
      <c r="C279" s="22"/>
    </row>
    <row r="280" spans="1:3" hidden="1" x14ac:dyDescent="0.35">
      <c r="A280" t="s">
        <v>15</v>
      </c>
      <c r="B280" s="23">
        <f>VLOOKUP(A280,'MTX CARAC'!$A$4:$W$131,15,0)</f>
        <v>45289</v>
      </c>
      <c r="C280" s="23"/>
    </row>
    <row r="281" spans="1:3" hidden="1" x14ac:dyDescent="0.35">
      <c r="A281" t="s">
        <v>141</v>
      </c>
      <c r="B281" s="23">
        <f>VLOOKUP(A281,'MTX CARAC'!$A$4:$W$131,15,0)</f>
        <v>45289</v>
      </c>
      <c r="C281" s="23"/>
    </row>
    <row r="282" spans="1:3" hidden="1" x14ac:dyDescent="0.35">
      <c r="A282" t="s">
        <v>132</v>
      </c>
      <c r="B282" s="23">
        <f>VLOOKUP(A282,'MTX CARAC'!$A$4:$W$131,15,0)</f>
        <v>45289</v>
      </c>
      <c r="C282" s="23"/>
    </row>
    <row r="283" spans="1:3" hidden="1" x14ac:dyDescent="0.35">
      <c r="A283" t="s">
        <v>143</v>
      </c>
      <c r="B283" s="23">
        <f>VLOOKUP(A283,'MTX CARAC'!$A$4:$W$131,15,0)</f>
        <v>45289</v>
      </c>
      <c r="C283" s="23"/>
    </row>
    <row r="284" spans="1:3" hidden="1" x14ac:dyDescent="0.35">
      <c r="A284" t="s">
        <v>144</v>
      </c>
      <c r="B284" s="23">
        <f>VLOOKUP(A284,'MTX CARAC'!$A$4:$W$131,15,0)</f>
        <v>45289</v>
      </c>
      <c r="C284" s="23"/>
    </row>
    <row r="285" spans="1:3" hidden="1" x14ac:dyDescent="0.35">
      <c r="A285" t="s">
        <v>142</v>
      </c>
      <c r="B285" s="23">
        <f>VLOOKUP(A285,'MTX CARAC'!$A$4:$W$131,15,0)</f>
        <v>45289</v>
      </c>
      <c r="C285" s="23"/>
    </row>
    <row r="286" spans="1:3" hidden="1" x14ac:dyDescent="0.35">
      <c r="A286" t="s">
        <v>145</v>
      </c>
      <c r="B286" s="23">
        <f>VLOOKUP(A286,'MTX CARAC'!$A$4:$W$131,15,0)</f>
        <v>45289</v>
      </c>
      <c r="C286" s="23"/>
    </row>
    <row r="287" spans="1:3" hidden="1" x14ac:dyDescent="0.35">
      <c r="A287" t="s">
        <v>298</v>
      </c>
      <c r="B287" s="23">
        <f>VLOOKUP(A287,'MTX CARAC'!$A$4:$W$131,15,0)</f>
        <v>45322</v>
      </c>
      <c r="C287" s="23"/>
    </row>
    <row r="288" spans="1:3" hidden="1" x14ac:dyDescent="0.35">
      <c r="A288" t="s">
        <v>3</v>
      </c>
      <c r="B288" s="23">
        <f>VLOOKUP(A288,'MTX CARAC'!$A$4:$W$131,15,0)</f>
        <v>45289</v>
      </c>
      <c r="C288" s="23"/>
    </row>
    <row r="289" spans="1:3" hidden="1" x14ac:dyDescent="0.35">
      <c r="A289" t="s">
        <v>194</v>
      </c>
      <c r="B289" s="23">
        <f>VLOOKUP(A289,'MTX CARAC'!$A$4:$W$131,15,0)</f>
        <v>45289</v>
      </c>
      <c r="C289" s="23"/>
    </row>
    <row r="290" spans="1:3" hidden="1" x14ac:dyDescent="0.35">
      <c r="A290" t="s">
        <v>4</v>
      </c>
      <c r="B290" s="23">
        <f>VLOOKUP(A290,'MTX CARAC'!$A$4:$W$131,15,0)</f>
        <v>45289</v>
      </c>
      <c r="C290" s="23"/>
    </row>
    <row r="291" spans="1:3" hidden="1" x14ac:dyDescent="0.35">
      <c r="A291" t="s">
        <v>153</v>
      </c>
      <c r="B291" s="23">
        <f>VLOOKUP(A291,'MTX CARAC'!$A$4:$W$131,15,0)</f>
        <v>45289</v>
      </c>
      <c r="C291" s="23"/>
    </row>
    <row r="292" spans="1:3" hidden="1" x14ac:dyDescent="0.35">
      <c r="A292" t="s">
        <v>154</v>
      </c>
      <c r="B292" s="23">
        <f>VLOOKUP(A292,'MTX CARAC'!$A$4:$W$131,15,0)</f>
        <v>45289</v>
      </c>
      <c r="C292" s="23"/>
    </row>
    <row r="293" spans="1:3" hidden="1" x14ac:dyDescent="0.35">
      <c r="A293" t="s">
        <v>5</v>
      </c>
      <c r="B293" s="23">
        <f>VLOOKUP(A293,'MTX CARAC'!$A$4:$W$131,15,0)</f>
        <v>45289</v>
      </c>
      <c r="C293" s="23"/>
    </row>
    <row r="294" spans="1:3" hidden="1" x14ac:dyDescent="0.35">
      <c r="A294" t="s">
        <v>155</v>
      </c>
      <c r="B294" s="23">
        <f>VLOOKUP(A294,'MTX CARAC'!$A$4:$W$131,15,0)</f>
        <v>45289</v>
      </c>
      <c r="C294" s="23"/>
    </row>
    <row r="295" spans="1:3" hidden="1" x14ac:dyDescent="0.35">
      <c r="A295" t="s">
        <v>6</v>
      </c>
      <c r="B295" s="23">
        <f>VLOOKUP(A295,'MTX CARAC'!$A$4:$W$131,15,0)</f>
        <v>45289</v>
      </c>
      <c r="C295" s="23"/>
    </row>
    <row r="296" spans="1:3" hidden="1" x14ac:dyDescent="0.35">
      <c r="A296" t="s">
        <v>7</v>
      </c>
      <c r="B296" s="23">
        <f>VLOOKUP(A296,'MTX CARAC'!$A$4:$W$131,15,0)</f>
        <v>45289</v>
      </c>
      <c r="C296" s="23"/>
    </row>
    <row r="297" spans="1:3" hidden="1" x14ac:dyDescent="0.35">
      <c r="A297" t="s">
        <v>8</v>
      </c>
      <c r="B297" s="23">
        <f>VLOOKUP(A297,'MTX CARAC'!$A$4:$W$131,15,0)</f>
        <v>45289</v>
      </c>
      <c r="C297" s="23"/>
    </row>
    <row r="298" spans="1:3" hidden="1" x14ac:dyDescent="0.35">
      <c r="A298" t="s">
        <v>9</v>
      </c>
      <c r="B298" s="23">
        <f>VLOOKUP(A298,'MTX CARAC'!$A$4:$W$131,15,0)</f>
        <v>45289</v>
      </c>
      <c r="C298" s="23"/>
    </row>
    <row r="299" spans="1:3" hidden="1" x14ac:dyDescent="0.35">
      <c r="A299" t="s">
        <v>156</v>
      </c>
      <c r="B299" s="23">
        <f>VLOOKUP(A299,'MTX CARAC'!$A$4:$W$131,15,0)</f>
        <v>45289</v>
      </c>
      <c r="C299" s="23"/>
    </row>
    <row r="300" spans="1:3" hidden="1" x14ac:dyDescent="0.35">
      <c r="A300" t="s">
        <v>157</v>
      </c>
      <c r="B300" s="23">
        <f>VLOOKUP(A300,'MTX CARAC'!$A$4:$W$131,15,0)</f>
        <v>45289</v>
      </c>
      <c r="C300" s="23"/>
    </row>
    <row r="301" spans="1:3" hidden="1" x14ac:dyDescent="0.35">
      <c r="A301" t="s">
        <v>10</v>
      </c>
      <c r="B301" s="23">
        <f>VLOOKUP(A301,'MTX CARAC'!$A$4:$W$131,15,0)</f>
        <v>45289</v>
      </c>
      <c r="C301" s="23"/>
    </row>
    <row r="302" spans="1:3" hidden="1" x14ac:dyDescent="0.35">
      <c r="A302" t="s">
        <v>11</v>
      </c>
      <c r="B302" s="23">
        <f>VLOOKUP(A302,'MTX CARAC'!$A$4:$W$131,15,0)</f>
        <v>45289</v>
      </c>
      <c r="C302" s="23"/>
    </row>
    <row r="303" spans="1:3" hidden="1" x14ac:dyDescent="0.35">
      <c r="A303" t="s">
        <v>158</v>
      </c>
      <c r="B303" s="23">
        <f>VLOOKUP(A303,'MTX CARAC'!$A$4:$W$131,15,0)</f>
        <v>45289</v>
      </c>
      <c r="C303" s="23"/>
    </row>
    <row r="304" spans="1:3" hidden="1" x14ac:dyDescent="0.35">
      <c r="A304" t="s">
        <v>12</v>
      </c>
      <c r="B304" s="23">
        <f>VLOOKUP(A304,'MTX CARAC'!$A$4:$W$131,15,0)</f>
        <v>45289</v>
      </c>
      <c r="C304" s="23"/>
    </row>
    <row r="305" spans="1:3" hidden="1" x14ac:dyDescent="0.35">
      <c r="A305" t="s">
        <v>13</v>
      </c>
      <c r="B305" s="23">
        <f>VLOOKUP(A305,'MTX CARAC'!$A$4:$W$131,15,0)</f>
        <v>45289</v>
      </c>
      <c r="C305" s="23"/>
    </row>
    <row r="306" spans="1:3" hidden="1" x14ac:dyDescent="0.35">
      <c r="A306" t="s">
        <v>161</v>
      </c>
      <c r="B306" s="23">
        <f>VLOOKUP(A306,'MTX CARAC'!$A$4:$W$131,15,0)</f>
        <v>45289</v>
      </c>
      <c r="C306" s="23"/>
    </row>
    <row r="307" spans="1:3" hidden="1" x14ac:dyDescent="0.35">
      <c r="A307" t="s">
        <v>160</v>
      </c>
      <c r="B307" s="23">
        <f>VLOOKUP(A307,'MTX CARAC'!$A$4:$W$131,15,0)</f>
        <v>45289</v>
      </c>
      <c r="C307" s="23"/>
    </row>
    <row r="308" spans="1:3" hidden="1" x14ac:dyDescent="0.35">
      <c r="A308" t="s">
        <v>14</v>
      </c>
      <c r="B308" s="23">
        <f>VLOOKUP(A308,'MTX CARAC'!$A$4:$W$131,15,0)</f>
        <v>45289</v>
      </c>
      <c r="C308" s="23"/>
    </row>
    <row r="309" spans="1:3" hidden="1" x14ac:dyDescent="0.35">
      <c r="A309" t="s">
        <v>159</v>
      </c>
      <c r="B309" s="23">
        <f>VLOOKUP(A309,'MTX CARAC'!$A$4:$W$131,15,0)</f>
        <v>45289</v>
      </c>
      <c r="C309" s="23"/>
    </row>
    <row r="310" spans="1:3" hidden="1" x14ac:dyDescent="0.35">
      <c r="A310" t="s">
        <v>214</v>
      </c>
      <c r="B310" s="23">
        <f>VLOOKUP(A310,'MTX CARAC'!$A$4:$W$131,15,0)</f>
        <v>45289</v>
      </c>
      <c r="C310" s="23"/>
    </row>
    <row r="311" spans="1:3" hidden="1" x14ac:dyDescent="0.35">
      <c r="A311" t="s">
        <v>215</v>
      </c>
      <c r="B311" s="23">
        <f>VLOOKUP(A311,'MTX CARAC'!$A$4:$W$131,15,0)</f>
        <v>45289</v>
      </c>
      <c r="C311" s="23"/>
    </row>
    <row r="312" spans="1:3" hidden="1" x14ac:dyDescent="0.35">
      <c r="A312" t="s">
        <v>216</v>
      </c>
      <c r="B312" s="23">
        <f>VLOOKUP(A312,'MTX CARAC'!$A$4:$W$131,15,0)</f>
        <v>45289</v>
      </c>
      <c r="C312" s="23"/>
    </row>
    <row r="313" spans="1:3" hidden="1" x14ac:dyDescent="0.35">
      <c r="A313" t="s">
        <v>217</v>
      </c>
      <c r="B313" s="23">
        <f>VLOOKUP(A313,'MTX CARAC'!$A$4:$W$131,15,0)</f>
        <v>45289</v>
      </c>
      <c r="C313" s="23"/>
    </row>
    <row r="314" spans="1:3" hidden="1" x14ac:dyDescent="0.35">
      <c r="A314" t="s">
        <v>218</v>
      </c>
      <c r="B314" s="23">
        <f>VLOOKUP(A314,'MTX CARAC'!$A$4:$W$131,15,0)</f>
        <v>45289</v>
      </c>
      <c r="C314" s="23"/>
    </row>
    <row r="315" spans="1:3" hidden="1" x14ac:dyDescent="0.35">
      <c r="A315" t="s">
        <v>219</v>
      </c>
      <c r="B315" s="23">
        <f>VLOOKUP(A315,'MTX CARAC'!$A$4:$W$131,15,0)</f>
        <v>45289</v>
      </c>
      <c r="C315" s="23"/>
    </row>
    <row r="316" spans="1:3" hidden="1" x14ac:dyDescent="0.35">
      <c r="A316" t="s">
        <v>220</v>
      </c>
      <c r="B316" s="23">
        <f>VLOOKUP(A316,'MTX CARAC'!$A$4:$W$131,15,0)</f>
        <v>45289</v>
      </c>
      <c r="C316" s="23"/>
    </row>
    <row r="317" spans="1:3" hidden="1" x14ac:dyDescent="0.35">
      <c r="A317" t="s">
        <v>128</v>
      </c>
      <c r="B317" s="23">
        <f>VLOOKUP(A317,'MTX CARAC'!$A$4:$W$131,15,0)</f>
        <v>45289</v>
      </c>
      <c r="C317" s="23"/>
    </row>
    <row r="318" spans="1:3" hidden="1" x14ac:dyDescent="0.35">
      <c r="A318" t="s">
        <v>130</v>
      </c>
      <c r="B318" s="23">
        <f>VLOOKUP(A318,'MTX CARAC'!$A$4:$W$131,15,0)</f>
        <v>45289</v>
      </c>
      <c r="C318" s="23"/>
    </row>
    <row r="319" spans="1:3" hidden="1" x14ac:dyDescent="0.35">
      <c r="A319" t="s">
        <v>131</v>
      </c>
      <c r="B319" s="23">
        <f>VLOOKUP(A319,'MTX CARAC'!$A$4:$W$131,15,0)</f>
        <v>45289</v>
      </c>
      <c r="C319" s="23"/>
    </row>
    <row r="320" spans="1:3" hidden="1" x14ac:dyDescent="0.35">
      <c r="A320" t="s">
        <v>129</v>
      </c>
      <c r="B320" s="23">
        <f>VLOOKUP(A320,'MTX CARAC'!$A$4:$W$131,15,0)</f>
        <v>45289</v>
      </c>
      <c r="C320" s="23"/>
    </row>
    <row r="321" spans="1:3" hidden="1" x14ac:dyDescent="0.35">
      <c r="A321" t="s">
        <v>146</v>
      </c>
      <c r="B321" s="23">
        <f>VLOOKUP(A321,'MTX CARAC'!$A$4:$W$131,15,0)</f>
        <v>45289</v>
      </c>
      <c r="C321" s="23"/>
    </row>
    <row r="322" spans="1:3" hidden="1" x14ac:dyDescent="0.35">
      <c r="A322" t="s">
        <v>147</v>
      </c>
      <c r="B322" s="23">
        <f>VLOOKUP(A322,'MTX CARAC'!$A$4:$W$131,15,0)</f>
        <v>45289</v>
      </c>
      <c r="C322" s="23"/>
    </row>
    <row r="323" spans="1:3" hidden="1" x14ac:dyDescent="0.35">
      <c r="A323" t="s">
        <v>149</v>
      </c>
      <c r="B323" s="23">
        <f>VLOOKUP(A323,'MTX CARAC'!$A$4:$W$131,15,0)</f>
        <v>45289</v>
      </c>
      <c r="C323" s="23"/>
    </row>
    <row r="324" spans="1:3" hidden="1" x14ac:dyDescent="0.35">
      <c r="B324" s="23"/>
      <c r="C324" s="23"/>
    </row>
    <row r="325" spans="1:3" hidden="1" x14ac:dyDescent="0.35">
      <c r="A325" t="s">
        <v>77</v>
      </c>
      <c r="B325" s="23"/>
      <c r="C325" s="23"/>
    </row>
    <row r="326" spans="1:3" hidden="1" x14ac:dyDescent="0.35">
      <c r="A326" t="s">
        <v>76</v>
      </c>
      <c r="B326" s="23"/>
      <c r="C326" s="23"/>
    </row>
    <row r="327" spans="1:3" hidden="1" x14ac:dyDescent="0.35">
      <c r="A327" t="s">
        <v>175</v>
      </c>
      <c r="B327" s="23"/>
      <c r="C327" s="23"/>
    </row>
    <row r="328" spans="1:3" hidden="1" x14ac:dyDescent="0.35">
      <c r="A328" t="s">
        <v>174</v>
      </c>
      <c r="B328" s="23"/>
      <c r="C328" s="23"/>
    </row>
    <row r="329" spans="1:3" hidden="1" x14ac:dyDescent="0.35">
      <c r="A329" t="s">
        <v>176</v>
      </c>
      <c r="B329" s="23"/>
      <c r="C329" s="23"/>
    </row>
    <row r="330" spans="1:3" hidden="1" x14ac:dyDescent="0.35">
      <c r="A330" t="s">
        <v>16</v>
      </c>
      <c r="B330" s="23"/>
      <c r="C330" s="23"/>
    </row>
    <row r="331" spans="1:3" hidden="1" x14ac:dyDescent="0.35">
      <c r="A331" t="s">
        <v>272</v>
      </c>
      <c r="B331" s="23"/>
      <c r="C331" s="23"/>
    </row>
    <row r="332" spans="1:3" hidden="1" x14ac:dyDescent="0.35">
      <c r="A332" t="s">
        <v>210</v>
      </c>
      <c r="B332" s="23"/>
      <c r="C332" s="23"/>
    </row>
    <row r="333" spans="1:3" hidden="1" x14ac:dyDescent="0.35">
      <c r="A333" t="s">
        <v>271</v>
      </c>
      <c r="B333" s="23"/>
      <c r="C333" s="23"/>
    </row>
    <row r="334" spans="1:3" hidden="1" x14ac:dyDescent="0.35">
      <c r="A334" t="s">
        <v>112</v>
      </c>
      <c r="B334" s="23"/>
      <c r="C334" s="23"/>
    </row>
    <row r="335" spans="1:3" hidden="1" x14ac:dyDescent="0.35">
      <c r="A335" t="s">
        <v>189</v>
      </c>
      <c r="B335" s="23"/>
      <c r="C335" s="23"/>
    </row>
    <row r="336" spans="1:3" hidden="1" x14ac:dyDescent="0.35">
      <c r="A336" t="s">
        <v>188</v>
      </c>
      <c r="B336" s="23"/>
      <c r="C336" s="23"/>
    </row>
    <row r="337" spans="1:6" hidden="1" x14ac:dyDescent="0.35">
      <c r="A337" t="s">
        <v>61</v>
      </c>
      <c r="B337" s="23"/>
      <c r="C337" s="23"/>
    </row>
    <row r="338" spans="1:6" hidden="1" x14ac:dyDescent="0.35">
      <c r="A338" t="s">
        <v>18</v>
      </c>
      <c r="B338" s="23"/>
      <c r="C338" s="23"/>
    </row>
    <row r="339" spans="1:6" hidden="1" x14ac:dyDescent="0.35">
      <c r="B339" s="23"/>
      <c r="C339" s="23"/>
    </row>
    <row r="340" spans="1:6" hidden="1" x14ac:dyDescent="0.35">
      <c r="B340" s="23"/>
      <c r="C340" s="23"/>
    </row>
    <row r="341" spans="1:6" hidden="1" x14ac:dyDescent="0.35">
      <c r="B341" s="23"/>
      <c r="C341" s="23"/>
    </row>
    <row r="342" spans="1:6" hidden="1" x14ac:dyDescent="0.35"/>
    <row r="343" spans="1:6" hidden="1" x14ac:dyDescent="0.35">
      <c r="B343" s="6">
        <f>+B93</f>
        <v>46142</v>
      </c>
    </row>
    <row r="344" spans="1:6" hidden="1" x14ac:dyDescent="0.35">
      <c r="B344" s="11" t="str">
        <f>TEXT(B69,"dd-mmm-aa")</f>
        <v>30-abr-24</v>
      </c>
      <c r="C344" s="11" t="str">
        <f>TEXT(F7,"$#,###")</f>
        <v>$100</v>
      </c>
    </row>
    <row r="345" spans="1:6" hidden="1" x14ac:dyDescent="0.35">
      <c r="B345" s="24" t="str">
        <f>TEXT(B343,"dd-mmm-aa")</f>
        <v>30-abr-26</v>
      </c>
    </row>
    <row r="346" spans="1:6" hidden="1" x14ac:dyDescent="0.35">
      <c r="B346" t="str">
        <f>+"Valor de "&amp;C344&amp;"  del "&amp;B344&amp;" al "&amp;B345</f>
        <v>Valor de $100  del 30-abr-24 al 30-abr-26</v>
      </c>
    </row>
    <row r="347" spans="1:6" s="1" customFormat="1" hidden="1" x14ac:dyDescent="0.35"/>
    <row r="348" spans="1:6" s="1" customFormat="1" hidden="1" x14ac:dyDescent="0.35"/>
    <row r="349" spans="1:6" s="1" customFormat="1" hidden="1" x14ac:dyDescent="0.35">
      <c r="B349" s="83">
        <v>1</v>
      </c>
      <c r="C349" s="83">
        <f>+B349+1</f>
        <v>2</v>
      </c>
      <c r="D349" s="83">
        <f t="shared" ref="D349:F349" si="15">+C349+1</f>
        <v>3</v>
      </c>
      <c r="E349" s="83">
        <f t="shared" si="15"/>
        <v>4</v>
      </c>
      <c r="F349" s="83">
        <f t="shared" si="15"/>
        <v>5</v>
      </c>
    </row>
    <row r="350" spans="1:6" s="1" customFormat="1" hidden="1" x14ac:dyDescent="0.35">
      <c r="B350" s="134" t="str">
        <f>+B8</f>
        <v>MVFANG+ BF-H</v>
      </c>
      <c r="C350" s="62" t="s">
        <v>254</v>
      </c>
      <c r="D350" s="62" t="s">
        <v>255</v>
      </c>
      <c r="E350" s="62" t="s">
        <v>256</v>
      </c>
      <c r="F350" s="62" t="s">
        <v>257</v>
      </c>
    </row>
    <row r="351" spans="1:6" s="1" customFormat="1" hidden="1" x14ac:dyDescent="0.35">
      <c r="B351" s="83">
        <f>HLOOKUP(B350,'MTX PRECIOS'!$A$95:$DZ$96,2,0)</f>
        <v>111</v>
      </c>
      <c r="C351" s="97">
        <f t="shared" ref="C351:F352" si="16">+H12</f>
        <v>46112</v>
      </c>
      <c r="D351" s="97">
        <f t="shared" si="16"/>
        <v>46052</v>
      </c>
      <c r="E351" s="97">
        <f t="shared" si="16"/>
        <v>45777</v>
      </c>
      <c r="F351" s="97">
        <f t="shared" si="16"/>
        <v>45044</v>
      </c>
    </row>
    <row r="352" spans="1:6" s="1" customFormat="1" hidden="1" x14ac:dyDescent="0.35">
      <c r="C352" s="97">
        <f t="shared" si="16"/>
        <v>46142</v>
      </c>
      <c r="D352" s="97">
        <f t="shared" si="16"/>
        <v>46142</v>
      </c>
      <c r="E352" s="97">
        <f t="shared" si="16"/>
        <v>46142</v>
      </c>
      <c r="F352" s="97">
        <f t="shared" si="16"/>
        <v>46142</v>
      </c>
    </row>
    <row r="353" spans="2:6" s="1" customFormat="1" hidden="1" x14ac:dyDescent="0.35">
      <c r="B353" s="1" t="s">
        <v>187</v>
      </c>
      <c r="C353" s="106">
        <f>+C352-C351</f>
        <v>30</v>
      </c>
      <c r="D353" s="106">
        <f t="shared" ref="D353:F353" si="17">+D352-D351</f>
        <v>90</v>
      </c>
      <c r="E353" s="106">
        <f t="shared" si="17"/>
        <v>365</v>
      </c>
      <c r="F353" s="106">
        <f t="shared" si="17"/>
        <v>1098</v>
      </c>
    </row>
    <row r="354" spans="2:6" s="1" customFormat="1" hidden="1" x14ac:dyDescent="0.35">
      <c r="B354" s="1" t="s">
        <v>171</v>
      </c>
      <c r="C354" s="107">
        <f>VLOOKUP(C351,$B$69:$D$93,2,0)</f>
        <v>1.4710589999999999</v>
      </c>
      <c r="D354" s="107">
        <f>VLOOKUP(D351,$B$71:$C$240,2,0)</f>
        <v>1.5301800000000001</v>
      </c>
      <c r="E354" s="107">
        <f>VLOOKUP(E351,$B$71:$C$240,2,0)</f>
        <v>1.297609</v>
      </c>
      <c r="F354" s="107">
        <f>VLOOKUP(F351,'MTX PRECIOS'!$A$5:$EC$95,B351,0)</f>
        <v>0.817056</v>
      </c>
    </row>
    <row r="355" spans="2:6" s="1" customFormat="1" hidden="1" x14ac:dyDescent="0.35">
      <c r="C355" s="107">
        <f>VLOOKUP(C352,$B$69:$C$93,2,0)</f>
        <v>1.659861</v>
      </c>
      <c r="D355" s="107">
        <f>VLOOKUP(D352,$B$71:$C$240,2,0)</f>
        <v>1.659861</v>
      </c>
      <c r="E355" s="107">
        <f>VLOOKUP(E352,$B$71:$C$240,2,0)</f>
        <v>1.659861</v>
      </c>
      <c r="F355" s="107">
        <f>VLOOKUP(F352,$B$71:$C$240,2,0)</f>
        <v>1.659861</v>
      </c>
    </row>
    <row r="356" spans="2:6" s="1" customFormat="1" hidden="1" x14ac:dyDescent="0.35">
      <c r="B356" s="1" t="s">
        <v>204</v>
      </c>
      <c r="C356" s="108">
        <f>+C355/C354-1</f>
        <v>0.12834427443086938</v>
      </c>
      <c r="D356" s="108">
        <f t="shared" ref="D356:E356" si="18">+D355/D354-1</f>
        <v>8.4748853076108688E-2</v>
      </c>
      <c r="E356" s="108">
        <f t="shared" si="18"/>
        <v>0.27916884053671032</v>
      </c>
      <c r="F356" s="108">
        <f>IF(F354&gt;0,F355/F354-1," ")</f>
        <v>1.0315143637645399</v>
      </c>
    </row>
    <row r="357" spans="2:6" s="1" customFormat="1" hidden="1" x14ac:dyDescent="0.35">
      <c r="B357" s="1" t="s">
        <v>205</v>
      </c>
      <c r="C357" s="108">
        <f>+(C355/C354-1)*360/C353</f>
        <v>1.5401312931704325</v>
      </c>
      <c r="D357" s="108">
        <f t="shared" ref="D357:E357" si="19">+(D355/D354-1)*360/D353</f>
        <v>0.33899541230443475</v>
      </c>
      <c r="E357" s="108">
        <f t="shared" si="19"/>
        <v>0.2753446098444266</v>
      </c>
      <c r="F357" s="108">
        <f>IF(F354&gt;0,(F355/F354-1)*360/F353," ")</f>
        <v>0.33820143074247211</v>
      </c>
    </row>
    <row r="358" spans="2:6" s="1" customFormat="1" hidden="1" x14ac:dyDescent="0.35">
      <c r="B358" s="1" t="s">
        <v>239</v>
      </c>
      <c r="C358" s="108">
        <f>+((C355/C354)^(360/C353))-1</f>
        <v>3.2589207029177842</v>
      </c>
      <c r="D358" s="108">
        <f t="shared" ref="D358:E358" si="20">+((D355/D354)^(360/D353))-1</f>
        <v>0.38457599713682855</v>
      </c>
      <c r="E358" s="108">
        <f t="shared" si="20"/>
        <v>0.27486179516528897</v>
      </c>
      <c r="F358" s="108">
        <f>+IF(F354&gt;0,((F355/F354)^(360/F353))-1," ")</f>
        <v>0.26160835517378311</v>
      </c>
    </row>
    <row r="359" spans="2:6" s="1" customFormat="1" hidden="1" x14ac:dyDescent="0.35"/>
    <row r="360" spans="2:6" s="1" customFormat="1" hidden="1" x14ac:dyDescent="0.35">
      <c r="B360" s="83">
        <v>1</v>
      </c>
      <c r="C360" s="83">
        <f>+B360+1</f>
        <v>2</v>
      </c>
      <c r="D360" s="83">
        <f t="shared" ref="D360:F360" si="21">+C360+1</f>
        <v>3</v>
      </c>
      <c r="E360" s="83">
        <f t="shared" si="21"/>
        <v>4</v>
      </c>
      <c r="F360" s="83">
        <f t="shared" si="21"/>
        <v>5</v>
      </c>
    </row>
    <row r="361" spans="2:6" s="1" customFormat="1" hidden="1" x14ac:dyDescent="0.35">
      <c r="B361" s="135" t="str">
        <f>+C8</f>
        <v>MULTIRE BF-H</v>
      </c>
      <c r="C361" s="62" t="s">
        <v>254</v>
      </c>
      <c r="D361" s="62" t="s">
        <v>255</v>
      </c>
      <c r="E361" s="62" t="s">
        <v>256</v>
      </c>
      <c r="F361" s="62" t="s">
        <v>257</v>
      </c>
    </row>
    <row r="362" spans="2:6" s="1" customFormat="1" hidden="1" x14ac:dyDescent="0.35">
      <c r="B362" s="83">
        <f>HLOOKUP(B361,'MTX PRECIOS'!$A$95:$DZ$96,2,0)</f>
        <v>18</v>
      </c>
      <c r="C362" s="97">
        <f>+C351</f>
        <v>46112</v>
      </c>
      <c r="D362" s="97">
        <f t="shared" ref="D362:F363" si="22">+D351</f>
        <v>46052</v>
      </c>
      <c r="E362" s="97">
        <f t="shared" si="22"/>
        <v>45777</v>
      </c>
      <c r="F362" s="97">
        <f t="shared" si="22"/>
        <v>45044</v>
      </c>
    </row>
    <row r="363" spans="2:6" s="1" customFormat="1" hidden="1" x14ac:dyDescent="0.35">
      <c r="C363" s="97">
        <f>+C352</f>
        <v>46142</v>
      </c>
      <c r="D363" s="97">
        <f t="shared" si="22"/>
        <v>46142</v>
      </c>
      <c r="E363" s="97">
        <f t="shared" si="22"/>
        <v>46142</v>
      </c>
      <c r="F363" s="97">
        <f t="shared" si="22"/>
        <v>46142</v>
      </c>
    </row>
    <row r="364" spans="2:6" s="1" customFormat="1" hidden="1" x14ac:dyDescent="0.35">
      <c r="B364" s="1" t="s">
        <v>187</v>
      </c>
      <c r="C364" s="106">
        <f>+C363-C362</f>
        <v>30</v>
      </c>
      <c r="D364" s="106">
        <f t="shared" ref="D364:F364" si="23">+D363-D362</f>
        <v>90</v>
      </c>
      <c r="E364" s="106">
        <f t="shared" si="23"/>
        <v>365</v>
      </c>
      <c r="F364" s="106">
        <f t="shared" si="23"/>
        <v>1098</v>
      </c>
    </row>
    <row r="365" spans="2:6" s="1" customFormat="1" hidden="1" x14ac:dyDescent="0.35">
      <c r="B365" s="1" t="s">
        <v>171</v>
      </c>
      <c r="C365" s="107">
        <f>VLOOKUP(C362,$B$71:$D$240,3,0)</f>
        <v>7.684456</v>
      </c>
      <c r="D365" s="107">
        <f>VLOOKUP(D362,$B$71:$D$240,3,0)</f>
        <v>7.6141040000000002</v>
      </c>
      <c r="E365" s="107">
        <f>VLOOKUP(E362,$B$71:$D$240,3,0)</f>
        <v>7.2092910000000003</v>
      </c>
      <c r="F365" s="107">
        <f>VLOOKUP(F362,'MTX PRECIOS'!$A$5:$EC$95,B362,0)</f>
        <v>5.8586960000000001</v>
      </c>
    </row>
    <row r="366" spans="2:6" s="1" customFormat="1" hidden="1" x14ac:dyDescent="0.35">
      <c r="C366" s="107">
        <f>VLOOKUP(C363,$B$71:$D$93,3,0)</f>
        <v>7.7273480000000001</v>
      </c>
      <c r="D366" s="107">
        <f>VLOOKUP(D363,$B$71:$D$240,3,0)</f>
        <v>7.7273480000000001</v>
      </c>
      <c r="E366" s="107">
        <f>VLOOKUP(E363,$B$71:$D$240,3,0)</f>
        <v>7.7273480000000001</v>
      </c>
      <c r="F366" s="107">
        <f>VLOOKUP(F363,$B$71:$D$240,3,0)</f>
        <v>7.7273480000000001</v>
      </c>
    </row>
    <row r="367" spans="2:6" s="1" customFormat="1" hidden="1" x14ac:dyDescent="0.35">
      <c r="B367" s="1" t="s">
        <v>204</v>
      </c>
      <c r="C367" s="108">
        <f>+C366/C365-1</f>
        <v>5.5816573092486443E-3</v>
      </c>
      <c r="D367" s="108">
        <f t="shared" ref="D367:E367" si="24">+D366/D365-1</f>
        <v>1.487292529757922E-2</v>
      </c>
      <c r="E367" s="108">
        <f t="shared" si="24"/>
        <v>7.1859632244002825E-2</v>
      </c>
      <c r="F367" s="108">
        <f>IF(F365&gt;0,F366/F365-1," ")</f>
        <v>0.31895356919014062</v>
      </c>
    </row>
    <row r="368" spans="2:6" s="1" customFormat="1" hidden="1" x14ac:dyDescent="0.35">
      <c r="B368" s="1" t="s">
        <v>205</v>
      </c>
      <c r="C368" s="108">
        <f>+(C366/C365-1)*360/C364</f>
        <v>6.6979887710983732E-2</v>
      </c>
      <c r="D368" s="108">
        <f t="shared" ref="D368:E368" si="25">+(D366/D365-1)*360/D364</f>
        <v>5.9491701190316881E-2</v>
      </c>
      <c r="E368" s="108">
        <f t="shared" si="25"/>
        <v>7.0875253720112372E-2</v>
      </c>
      <c r="F368" s="108">
        <f>IF(F365&gt;0,(F366/F365-1)*360/F364," ")</f>
        <v>0.10457494071807889</v>
      </c>
    </row>
    <row r="369" spans="2:6" s="1" customFormat="1" hidden="1" x14ac:dyDescent="0.35">
      <c r="B369" s="1" t="s">
        <v>239</v>
      </c>
      <c r="C369" s="108">
        <f>+((C366/C365)^(360/C364))-1</f>
        <v>6.9074852892074823E-2</v>
      </c>
      <c r="D369" s="108">
        <f t="shared" ref="D369:E369" si="26">+((D366/D365)^(360/D364))-1</f>
        <v>6.0832133359661533E-2</v>
      </c>
      <c r="E369" s="108">
        <f t="shared" si="26"/>
        <v>7.0841187336780465E-2</v>
      </c>
      <c r="F369" s="108">
        <f>IF(F365&gt;0,((F366/F365)^(360/F364))-1," ")</f>
        <v>9.5013593745749914E-2</v>
      </c>
    </row>
    <row r="370" spans="2:6" s="1" customFormat="1" hidden="1" x14ac:dyDescent="0.35"/>
    <row r="371" spans="2:6" s="1" customFormat="1" hidden="1" x14ac:dyDescent="0.35"/>
    <row r="372" spans="2:6" s="1" customFormat="1" hidden="1" x14ac:dyDescent="0.35"/>
    <row r="373" spans="2:6" s="1" customFormat="1" hidden="1" x14ac:dyDescent="0.35"/>
    <row r="374" spans="2:6" s="1" customFormat="1" hidden="1" x14ac:dyDescent="0.35"/>
    <row r="375" spans="2:6" s="1" customFormat="1" hidden="1" x14ac:dyDescent="0.35"/>
    <row r="376" spans="2:6" s="1" customFormat="1" hidden="1" x14ac:dyDescent="0.35"/>
    <row r="377" spans="2:6" s="1" customFormat="1" hidden="1" x14ac:dyDescent="0.35"/>
    <row r="378" spans="2:6" s="1" customFormat="1" x14ac:dyDescent="0.35"/>
    <row r="379" spans="2:6" s="1" customFormat="1" x14ac:dyDescent="0.35"/>
    <row r="380" spans="2:6" s="1" customFormat="1" x14ac:dyDescent="0.35"/>
    <row r="381" spans="2:6" s="1" customFormat="1" x14ac:dyDescent="0.35"/>
    <row r="382" spans="2:6" s="1" customFormat="1" x14ac:dyDescent="0.35"/>
    <row r="383" spans="2:6" s="1" customFormat="1" x14ac:dyDescent="0.35"/>
    <row r="384" spans="2:6" s="1" customFormat="1" x14ac:dyDescent="0.35"/>
    <row r="385" s="1" customFormat="1" x14ac:dyDescent="0.35"/>
    <row r="386" s="1" customFormat="1" x14ac:dyDescent="0.35"/>
    <row r="387" s="1" customFormat="1" x14ac:dyDescent="0.35"/>
    <row r="388" s="1" customFormat="1" x14ac:dyDescent="0.35"/>
    <row r="389" s="1" customFormat="1" x14ac:dyDescent="0.35"/>
    <row r="390" s="1" customFormat="1" x14ac:dyDescent="0.35"/>
    <row r="391" s="1" customFormat="1" x14ac:dyDescent="0.35"/>
    <row r="392" s="1" customFormat="1" x14ac:dyDescent="0.35"/>
    <row r="393" s="1" customFormat="1" x14ac:dyDescent="0.35"/>
    <row r="394" s="1" customFormat="1" x14ac:dyDescent="0.35"/>
    <row r="395" s="1" customFormat="1" x14ac:dyDescent="0.35"/>
    <row r="396" s="1" customFormat="1" x14ac:dyDescent="0.35"/>
    <row r="397" s="1" customFormat="1" x14ac:dyDescent="0.35"/>
    <row r="398" s="1" customFormat="1" x14ac:dyDescent="0.35"/>
    <row r="399" s="1" customFormat="1" x14ac:dyDescent="0.35"/>
    <row r="400" s="1" customFormat="1" x14ac:dyDescent="0.35"/>
    <row r="401" s="1" customFormat="1" x14ac:dyDescent="0.35"/>
    <row r="402" s="1" customFormat="1" x14ac:dyDescent="0.35"/>
    <row r="403" s="1" customFormat="1" x14ac:dyDescent="0.35"/>
    <row r="404" s="1" customFormat="1" x14ac:dyDescent="0.35"/>
    <row r="405" s="1" customFormat="1" x14ac:dyDescent="0.35"/>
    <row r="406" s="1" customFormat="1" x14ac:dyDescent="0.35"/>
    <row r="407" s="1" customFormat="1" x14ac:dyDescent="0.35"/>
    <row r="408" s="1" customFormat="1" x14ac:dyDescent="0.35"/>
    <row r="409" s="1" customFormat="1" x14ac:dyDescent="0.35"/>
    <row r="410" s="1" customFormat="1" x14ac:dyDescent="0.35"/>
    <row r="411" s="1" customFormat="1" x14ac:dyDescent="0.35"/>
    <row r="412" s="1" customFormat="1" x14ac:dyDescent="0.35"/>
    <row r="413" s="1" customFormat="1" x14ac:dyDescent="0.35"/>
    <row r="414" s="1" customFormat="1" x14ac:dyDescent="0.35"/>
    <row r="415" s="1" customFormat="1" x14ac:dyDescent="0.35"/>
    <row r="416" s="1" customFormat="1" x14ac:dyDescent="0.35"/>
  </sheetData>
  <sheetProtection algorithmName="SHA-512" hashValue="CGrsGOQRbjQaRbnyOjlUbsH6Pteqkre+XKWMmBCzdTgNQ0DpPH4UkKCa3P6NZ2DkHiglY1oJFOoXcJcxRsNFQQ==" saltValue="jj0LJAw+/qvokGEaW8lHdw==" spinCount="100000" sheet="1" objects="1" scenarios="1" selectLockedCells="1"/>
  <sortState xmlns:xlrd2="http://schemas.microsoft.com/office/spreadsheetml/2017/richdata2" ref="A263:A268">
    <sortCondition ref="A263:A268"/>
  </sortState>
  <mergeCells count="11">
    <mergeCell ref="L67:M67"/>
    <mergeCell ref="G67:H67"/>
    <mergeCell ref="I67:K67"/>
    <mergeCell ref="E67:F67"/>
    <mergeCell ref="C67:D67"/>
    <mergeCell ref="A20:M20"/>
    <mergeCell ref="E11:F11"/>
    <mergeCell ref="E12:F13"/>
    <mergeCell ref="E14:F14"/>
    <mergeCell ref="A7:A8"/>
    <mergeCell ref="E15:F15"/>
  </mergeCells>
  <dataValidations count="1">
    <dataValidation type="list" allowBlank="1" showInputMessage="1" showErrorMessage="1" sqref="B8:C8" xr:uid="{53841E17-04BF-42D0-B455-E433A65AD42F}">
      <formula1>$A$237:$A$338</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3"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73A40-982B-4DC1-B0A4-292C8E3C3B3F}">
  <dimension ref="A1:AD323"/>
  <sheetViews>
    <sheetView workbookViewId="0">
      <selection activeCell="F7" sqref="F7"/>
    </sheetView>
  </sheetViews>
  <sheetFormatPr baseColWidth="10" defaultRowHeight="14.5" x14ac:dyDescent="0.35"/>
  <cols>
    <col min="1" max="1" width="20.453125" customWidth="1"/>
    <col min="2" max="4" width="22.7265625" customWidth="1"/>
    <col min="5" max="7" width="22.7265625" style="1" customWidth="1"/>
    <col min="8" max="8" width="18" style="1" customWidth="1"/>
    <col min="9" max="9" width="16.1796875" style="1" customWidth="1"/>
    <col min="10" max="10" width="16.81640625" style="1" customWidth="1"/>
    <col min="11" max="11" width="14.7265625" style="1" customWidth="1"/>
    <col min="12" max="12" width="17.1796875" style="1" customWidth="1"/>
    <col min="13" max="13" width="18.453125" style="1" customWidth="1"/>
    <col min="14" max="14" width="14.453125" style="1" customWidth="1"/>
    <col min="15" max="30" width="11.453125" style="1"/>
  </cols>
  <sheetData>
    <row r="1" spans="1:30" s="1" customFormat="1" x14ac:dyDescent="0.35"/>
    <row r="2" spans="1:30" s="1" customFormat="1" x14ac:dyDescent="0.35"/>
    <row r="3" spans="1:30" s="1" customFormat="1" ht="15.5" x14ac:dyDescent="0.35">
      <c r="L3" s="3" t="s">
        <v>183</v>
      </c>
    </row>
    <row r="4" spans="1:30" s="1" customFormat="1" x14ac:dyDescent="0.35"/>
    <row r="5" spans="1:30" s="1" customFormat="1" x14ac:dyDescent="0.35"/>
    <row r="6" spans="1:30" s="1" customFormat="1" x14ac:dyDescent="0.35"/>
    <row r="7" spans="1:30" s="1" customFormat="1" ht="21" x14ac:dyDescent="0.5">
      <c r="A7" s="347" t="s">
        <v>25</v>
      </c>
      <c r="B7" s="195" t="s">
        <v>163</v>
      </c>
      <c r="C7" s="197" t="s">
        <v>164</v>
      </c>
      <c r="E7" s="41" t="s">
        <v>184</v>
      </c>
      <c r="F7" s="42">
        <v>100</v>
      </c>
    </row>
    <row r="8" spans="1:30" ht="29" x14ac:dyDescent="0.35">
      <c r="A8" s="348"/>
      <c r="B8" s="196" t="s">
        <v>4</v>
      </c>
      <c r="C8" s="201" t="s">
        <v>175</v>
      </c>
      <c r="D8" s="1"/>
      <c r="AA8"/>
      <c r="AB8"/>
      <c r="AC8"/>
      <c r="AD8"/>
    </row>
    <row r="9" spans="1:30" x14ac:dyDescent="0.35">
      <c r="A9" s="127" t="s">
        <v>80</v>
      </c>
      <c r="B9" s="120" t="str">
        <f>VLOOKUP(B8,'MTX CARAC'!$A$4:$O$122,12,0)</f>
        <v>Deuda</v>
      </c>
      <c r="C9" s="110" t="str">
        <f>VLOOKUP(C8,'MTX CARAC'!$A$4:$O$122,12,0)</f>
        <v>Deuda</v>
      </c>
      <c r="D9" s="1"/>
      <c r="AA9"/>
      <c r="AB9"/>
      <c r="AC9"/>
      <c r="AD9"/>
    </row>
    <row r="10" spans="1:30" ht="30" customHeight="1" x14ac:dyDescent="0.35">
      <c r="A10" s="128" t="s">
        <v>133</v>
      </c>
      <c r="B10" s="120" t="str">
        <f>VLOOKUP($B8,'MTX CARAC'!$A$4:$P$123,13,0)</f>
        <v>Corto Plazo Gubernamental</v>
      </c>
      <c r="C10" s="110">
        <f>VLOOKUP(C8,'MTX CARAC'!$A$4:$P$123,13,0)</f>
        <v>0</v>
      </c>
      <c r="D10" s="1"/>
      <c r="E10" s="1" t="s">
        <v>274</v>
      </c>
      <c r="AA10"/>
      <c r="AB10"/>
      <c r="AC10"/>
      <c r="AD10"/>
    </row>
    <row r="11" spans="1:30" ht="61.5" customHeight="1" x14ac:dyDescent="0.35">
      <c r="A11" s="129" t="s">
        <v>26</v>
      </c>
      <c r="B11" s="120" t="str">
        <f>VLOOKUP(B8,'MTX CARAC'!$A$2:$L$123,2,FALSE)</f>
        <v>Deuda</v>
      </c>
      <c r="C11" s="110" t="str">
        <f>VLOOKUP(C8,'MTX CARAC'!$A$2:$L$123,2,FALSE)</f>
        <v>Es la tasa neta de Pagarés de Ventanilla con Rendimiento Liquidable al Vencimiento (PRLV) publicada por Banxico</v>
      </c>
      <c r="D11" s="1"/>
      <c r="E11" s="351" t="s">
        <v>260</v>
      </c>
      <c r="F11" s="352"/>
      <c r="G11" s="123" t="s">
        <v>273</v>
      </c>
      <c r="H11" s="96" t="s">
        <v>254</v>
      </c>
      <c r="I11" s="96" t="s">
        <v>255</v>
      </c>
      <c r="J11" s="96" t="s">
        <v>256</v>
      </c>
      <c r="K11" s="96" t="s">
        <v>257</v>
      </c>
      <c r="L11" s="102" t="str">
        <f>+'36 MESES'!L11</f>
        <v>MÁXIMO EN ÚLTIMO AÑO CALENDARIO (2024)</v>
      </c>
      <c r="M11" s="102" t="str">
        <f>+'36 MESES'!M11</f>
        <v>MÍNIMO EN ÚLTIMO AÑO CALENDARIO (2024)</v>
      </c>
      <c r="AA11"/>
      <c r="AB11"/>
      <c r="AC11"/>
      <c r="AD11"/>
    </row>
    <row r="12" spans="1:30" ht="15" customHeight="1" x14ac:dyDescent="0.35">
      <c r="A12" s="128" t="s">
        <v>27</v>
      </c>
      <c r="B12" s="120" t="str">
        <f>VLOOKUP(B8,'MTX CARAC'!$A$2:$L$123,3,FALSE)</f>
        <v>Personas físicas mexicanas</v>
      </c>
      <c r="C12" s="110">
        <f>VLOOKUP(C8,'MTX CARAC'!$A$2:$L$123,3,FALSE)</f>
        <v>0</v>
      </c>
      <c r="D12" s="1"/>
      <c r="E12" s="351" t="s">
        <v>25</v>
      </c>
      <c r="F12" s="352"/>
      <c r="G12" s="124" t="s">
        <v>269</v>
      </c>
      <c r="H12" s="97">
        <f>+'MTX PRECIOS'!C203</f>
        <v>46112</v>
      </c>
      <c r="I12" s="97">
        <f>+'MTX PRECIOS'!D203</f>
        <v>46052</v>
      </c>
      <c r="J12" s="97">
        <f>+'MTX PRECIOS'!E203</f>
        <v>45777</v>
      </c>
      <c r="K12" s="97">
        <f>+'MTX PRECIOS'!F203</f>
        <v>45044</v>
      </c>
      <c r="L12" s="103"/>
      <c r="M12" s="103"/>
      <c r="AA12"/>
      <c r="AB12"/>
      <c r="AC12"/>
      <c r="AD12"/>
    </row>
    <row r="13" spans="1:30" x14ac:dyDescent="0.35">
      <c r="A13" s="128" t="s">
        <v>28</v>
      </c>
      <c r="B13" s="138" t="str">
        <f>VLOOKUP(B8,'MTX CARAC'!$A$2:$L$123,4,FALSE)</f>
        <v>Una acción</v>
      </c>
      <c r="C13" s="139">
        <f>VLOOKUP(C8,'MTX CARAC'!$A$2:$L$123,4,FALSE)</f>
        <v>0</v>
      </c>
      <c r="D13" s="1"/>
      <c r="E13" s="351"/>
      <c r="F13" s="352"/>
      <c r="G13" s="124" t="s">
        <v>270</v>
      </c>
      <c r="H13" s="105">
        <f>+'MTX PRECIOS'!C204</f>
        <v>46142</v>
      </c>
      <c r="I13" s="105">
        <f>+'MTX PRECIOS'!D204</f>
        <v>46142</v>
      </c>
      <c r="J13" s="105">
        <f>+'MTX PRECIOS'!E204</f>
        <v>46142</v>
      </c>
      <c r="K13" s="105">
        <f>+'MTX PRECIOS'!F204</f>
        <v>46142</v>
      </c>
      <c r="L13" s="103"/>
      <c r="M13" s="103"/>
      <c r="AA13"/>
      <c r="AB13"/>
      <c r="AC13"/>
      <c r="AD13"/>
    </row>
    <row r="14" spans="1:30" x14ac:dyDescent="0.35">
      <c r="A14" s="128" t="s">
        <v>29</v>
      </c>
      <c r="B14" s="120" t="str">
        <f>VLOOKUP(B8,'MTX CARAC'!$A$2:$L$123,5,FALSE)</f>
        <v>Corto Plazo</v>
      </c>
      <c r="C14" s="110">
        <f>VLOOKUP(C8,'MTX CARAC'!$A$2:$L$123,5,FALSE)</f>
        <v>0</v>
      </c>
      <c r="D14" s="1"/>
      <c r="E14" s="357" t="str">
        <f>+B8</f>
        <v>MULTIRE BF-1</v>
      </c>
      <c r="F14" s="358"/>
      <c r="G14" s="102" t="str">
        <f>VLOOKUP(E14,GRAFICAS!$A$170:$B$278,2,0)</f>
        <v>Anualizado Compuesto</v>
      </c>
      <c r="H14" s="98">
        <f>VLOOKUP($G14,$B$264:F$266,2,0)</f>
        <v>5.1115171891407352E-2</v>
      </c>
      <c r="I14" s="98">
        <f>VLOOKUP($G14,$B$264:G$266,3,0)</f>
        <v>4.4644845456947246E-2</v>
      </c>
      <c r="J14" s="98">
        <f>VLOOKUP($G14,$B$264:H$266,4,0)</f>
        <v>5.4777062812326971E-2</v>
      </c>
      <c r="K14" s="98">
        <f>VLOOKUP($G14,$B$264:I$266,5,0)</f>
        <v>7.8959597636941492E-2</v>
      </c>
      <c r="L14" s="98">
        <f>VLOOKUP($E14,'12M CALENDAR'!$B$3:$AC$139,27,0)</f>
        <v>8.823048337312378E-2</v>
      </c>
      <c r="M14" s="98">
        <f>VLOOKUP($E14,'12M CALENDAR'!$B$3:$AC$139,28,0)</f>
        <v>4.9005725175721659E-2</v>
      </c>
      <c r="AA14"/>
      <c r="AB14"/>
      <c r="AC14"/>
      <c r="AD14"/>
    </row>
    <row r="15" spans="1:30" ht="15" customHeight="1" x14ac:dyDescent="0.35">
      <c r="A15" s="128" t="s">
        <v>30</v>
      </c>
      <c r="B15" s="120" t="str">
        <f>VLOOKUP(B8,'MTX CARAC'!$A$2:$L$123,6,FALSE)</f>
        <v>Diario</v>
      </c>
      <c r="C15" s="110">
        <f>VLOOKUP(C8,'MTX CARAC'!$A$2:$L$123,6,FALSE)</f>
        <v>0</v>
      </c>
      <c r="D15" s="1"/>
      <c r="E15" s="357" t="str">
        <f>+C8</f>
        <v>PRLV de Ventanilla a 28 días. Tasa Neta</v>
      </c>
      <c r="F15" s="358"/>
      <c r="G15" s="102" t="str">
        <f>VLOOKUP(E15,GRAFICAS!$A$170:$B$278,2,0)</f>
        <v>Anualizado</v>
      </c>
      <c r="H15" s="98">
        <f>VLOOKUP($G15,$B$275:$F$277,2,0)</f>
        <v>1.7500000000000071E-2</v>
      </c>
      <c r="I15" s="98">
        <f>VLOOKUP($G15,$B$275:$F$277,3,0)</f>
        <v>1.7775134952469074E-2</v>
      </c>
      <c r="J15" s="98">
        <f>VLOOKUP($G15,$B$275:$F$277,4,0)</f>
        <v>1.943263393397076E-2</v>
      </c>
      <c r="K15" s="98">
        <f>VLOOKUP($G15,$B$275:$F$277,5,0)</f>
        <v>2.5708638792626578E-2</v>
      </c>
      <c r="L15" s="98" t="str">
        <f>VLOOKUP($E15,'12M CALENDAR'!$B$3:$AC$139,27,0)</f>
        <v>No aplica</v>
      </c>
      <c r="M15" s="98" t="str">
        <f>VLOOKUP($E15,'12M CALENDAR'!$B$3:$AC$139,28,0)</f>
        <v>No aplica</v>
      </c>
      <c r="AA15"/>
      <c r="AB15"/>
      <c r="AC15"/>
      <c r="AD15"/>
    </row>
    <row r="16" spans="1:30" x14ac:dyDescent="0.35">
      <c r="A16" s="128" t="s">
        <v>31</v>
      </c>
      <c r="B16" s="120" t="str">
        <f>VLOOKUP(B8,'MTX CARAC'!$A$2:$L$123,7,FALSE)</f>
        <v>Mismo día</v>
      </c>
      <c r="C16" s="110">
        <f>VLOOKUP(C8,'MTX CARAC'!$A$2:$L$123,7,FALSE)</f>
        <v>0</v>
      </c>
      <c r="D16" s="1"/>
      <c r="E16" s="122" t="s">
        <v>268</v>
      </c>
      <c r="M16" s="104" t="s">
        <v>275</v>
      </c>
      <c r="AA16"/>
      <c r="AB16"/>
      <c r="AC16"/>
      <c r="AD16"/>
    </row>
    <row r="17" spans="1:30" ht="43.5" x14ac:dyDescent="0.35">
      <c r="A17" s="130" t="s">
        <v>36</v>
      </c>
      <c r="B17" s="118">
        <f>VLOOKUP(B8,'MTX CARAC'!$A$2:$L$123,8,FALSE)</f>
        <v>0.5625</v>
      </c>
      <c r="C17" s="116">
        <f>VLOOKUP(C8,'MTX CARAC'!$A$2:$L$123,8,FALSE)</f>
        <v>0</v>
      </c>
      <c r="D17" s="1"/>
      <c r="AA17"/>
      <c r="AB17"/>
      <c r="AC17"/>
      <c r="AD17"/>
    </row>
    <row r="18" spans="1:30" x14ac:dyDescent="0.35">
      <c r="A18" s="128" t="s">
        <v>33</v>
      </c>
      <c r="B18" s="120" t="str">
        <f>VLOOKUP(B8,'MTX CARAC'!$A$2:$L$123,9,FALSE)</f>
        <v>HR AAA / 1CP</v>
      </c>
      <c r="C18" s="110" t="str">
        <f>VLOOKUP(C8,'MTX CARAC'!$A$2:$L$123,9,FALSE)</f>
        <v>No aplica</v>
      </c>
      <c r="D18" s="1"/>
      <c r="AA18"/>
      <c r="AB18"/>
      <c r="AC18"/>
      <c r="AD18"/>
    </row>
    <row r="19" spans="1:30" ht="40.5" customHeight="1" x14ac:dyDescent="0.35">
      <c r="A19" s="131" t="s">
        <v>39</v>
      </c>
      <c r="B19" s="132" t="str">
        <f>VLOOKUP(B8,'MTX CARAC'!$A$2:$L$123,12,FALSE)</f>
        <v>Deuda</v>
      </c>
      <c r="C19" s="133" t="str">
        <f>VLOOKUP(C8,'MTX CARAC'!$A$2:$L$123,12,FALSE)</f>
        <v>Deuda</v>
      </c>
      <c r="D19" s="39"/>
      <c r="E19" s="39"/>
      <c r="F19" s="39"/>
      <c r="G19" s="39"/>
      <c r="H19" s="39"/>
      <c r="I19" s="39"/>
      <c r="AA19"/>
      <c r="AB19"/>
      <c r="AC19"/>
      <c r="AD19"/>
    </row>
    <row r="20" spans="1:30" s="1" customFormat="1" ht="15" customHeight="1" x14ac:dyDescent="0.35">
      <c r="A20" s="29"/>
      <c r="B20" s="30"/>
      <c r="C20" s="30"/>
      <c r="D20" s="30"/>
      <c r="E20" s="30"/>
      <c r="F20" s="30"/>
      <c r="G20" s="30"/>
      <c r="H20" s="39"/>
      <c r="I20" s="39"/>
      <c r="J20" s="39"/>
      <c r="K20" s="39"/>
    </row>
    <row r="21" spans="1:30" s="1" customFormat="1" ht="33" customHeight="1" x14ac:dyDescent="0.35">
      <c r="A21" s="353" t="s">
        <v>280</v>
      </c>
      <c r="B21" s="353"/>
      <c r="C21" s="353"/>
      <c r="D21" s="353"/>
      <c r="E21" s="353"/>
      <c r="F21" s="353"/>
      <c r="G21" s="353"/>
      <c r="H21" s="353"/>
      <c r="I21" s="353"/>
      <c r="J21" s="353"/>
      <c r="K21" s="353"/>
      <c r="L21" s="353"/>
      <c r="M21" s="353"/>
    </row>
    <row r="22" spans="1:30" s="1" customFormat="1" ht="15" customHeight="1" x14ac:dyDescent="0.35">
      <c r="A22" s="29"/>
      <c r="B22" s="30"/>
      <c r="C22" s="30"/>
      <c r="D22" s="30"/>
      <c r="E22" s="30"/>
      <c r="F22" s="30"/>
      <c r="G22" s="30"/>
    </row>
    <row r="23" spans="1:30" s="1" customFormat="1" x14ac:dyDescent="0.35"/>
    <row r="25" spans="1:30" x14ac:dyDescent="0.35">
      <c r="O25" s="38"/>
    </row>
    <row r="26" spans="1:30" x14ac:dyDescent="0.35">
      <c r="O26" s="38"/>
    </row>
    <row r="27" spans="1:30" x14ac:dyDescent="0.35">
      <c r="O27" s="38"/>
    </row>
    <row r="28" spans="1:30" x14ac:dyDescent="0.35">
      <c r="O28" s="38"/>
    </row>
    <row r="29" spans="1:30" x14ac:dyDescent="0.35">
      <c r="O29" s="38"/>
    </row>
    <row r="30" spans="1:30" x14ac:dyDescent="0.35">
      <c r="O30" s="38"/>
    </row>
    <row r="31" spans="1:30" x14ac:dyDescent="0.35">
      <c r="O31" s="38"/>
    </row>
    <row r="32" spans="1:30" x14ac:dyDescent="0.35">
      <c r="O32" s="38"/>
    </row>
    <row r="33" spans="15:15" x14ac:dyDescent="0.35">
      <c r="O33" s="38"/>
    </row>
    <row r="34" spans="15:15" x14ac:dyDescent="0.35">
      <c r="O34" s="38"/>
    </row>
    <row r="35" spans="15:15" x14ac:dyDescent="0.35">
      <c r="O35" s="38"/>
    </row>
    <row r="36" spans="15:15" x14ac:dyDescent="0.35">
      <c r="O36" s="38"/>
    </row>
    <row r="37" spans="15:15" x14ac:dyDescent="0.35">
      <c r="O37" s="38"/>
    </row>
    <row r="59" spans="10:12" s="1" customFormat="1" x14ac:dyDescent="0.35"/>
    <row r="60" spans="10:12" s="1" customFormat="1" x14ac:dyDescent="0.35"/>
    <row r="61" spans="10:12" s="1" customFormat="1" x14ac:dyDescent="0.35"/>
    <row r="62" spans="10:12" s="1" customFormat="1" x14ac:dyDescent="0.35">
      <c r="J62" s="25"/>
      <c r="K62" s="26"/>
      <c r="L62" s="26"/>
    </row>
    <row r="63" spans="10:12" s="1" customFormat="1" x14ac:dyDescent="0.35">
      <c r="J63" s="25"/>
      <c r="K63" s="26"/>
      <c r="L63" s="26"/>
    </row>
    <row r="64" spans="10:12" s="1" customFormat="1" x14ac:dyDescent="0.35">
      <c r="J64" s="25"/>
      <c r="K64" s="26"/>
      <c r="L64" s="26"/>
    </row>
    <row r="65" spans="1:13" s="1" customFormat="1" ht="18.5" x14ac:dyDescent="0.45">
      <c r="A65" s="28" t="s">
        <v>170</v>
      </c>
      <c r="J65" s="25"/>
      <c r="K65" s="26"/>
      <c r="L65" s="26"/>
    </row>
    <row r="66" spans="1:13" s="1" customFormat="1" x14ac:dyDescent="0.35">
      <c r="C66" s="31">
        <f>HLOOKUP(C68,'MTX PRECIOS'!$A$95:$EG$96,2,0)</f>
        <v>16</v>
      </c>
      <c r="D66" s="31">
        <f>HLOOKUP(D68,'MTX PRECIOS'!$A$95:$EG$96,2,0)</f>
        <v>117</v>
      </c>
      <c r="J66" s="25"/>
      <c r="K66" s="26"/>
      <c r="L66" s="26"/>
    </row>
    <row r="67" spans="1:13" s="1" customFormat="1" x14ac:dyDescent="0.35">
      <c r="A67" s="27"/>
      <c r="B67" s="22"/>
      <c r="C67" s="349" t="s">
        <v>171</v>
      </c>
      <c r="D67" s="349"/>
      <c r="E67" s="361" t="s">
        <v>172</v>
      </c>
      <c r="F67" s="361"/>
      <c r="G67" s="363" t="s">
        <v>186</v>
      </c>
      <c r="H67" s="363"/>
      <c r="I67" s="360" t="s">
        <v>185</v>
      </c>
      <c r="J67" s="360"/>
      <c r="K67" s="360"/>
      <c r="L67" s="354" t="s">
        <v>263</v>
      </c>
      <c r="M67" s="354"/>
    </row>
    <row r="68" spans="1:13" s="1" customFormat="1" ht="43.5" x14ac:dyDescent="0.35">
      <c r="A68" s="32"/>
      <c r="B68" s="52" t="s">
        <v>173</v>
      </c>
      <c r="C68" s="48" t="str">
        <f>+B8</f>
        <v>MULTIRE BF-1</v>
      </c>
      <c r="D68" s="48" t="str">
        <f>+C8</f>
        <v>PRLV de Ventanilla a 28 días. Tasa Neta</v>
      </c>
      <c r="E68" s="48" t="str">
        <f t="shared" ref="E68:J68" si="0">+C68</f>
        <v>MULTIRE BF-1</v>
      </c>
      <c r="F68" s="48" t="str">
        <f t="shared" si="0"/>
        <v>PRLV de Ventanilla a 28 días. Tasa Neta</v>
      </c>
      <c r="G68" s="49" t="str">
        <f t="shared" si="0"/>
        <v>MULTIRE BF-1</v>
      </c>
      <c r="H68" s="49" t="str">
        <f t="shared" si="0"/>
        <v>PRLV de Ventanilla a 28 días. Tasa Neta</v>
      </c>
      <c r="I68" s="49" t="str">
        <f t="shared" si="0"/>
        <v>MULTIRE BF-1</v>
      </c>
      <c r="J68" s="50" t="str">
        <f t="shared" si="0"/>
        <v>PRLV de Ventanilla a 28 días. Tasa Neta</v>
      </c>
      <c r="K68" s="51" t="s">
        <v>187</v>
      </c>
      <c r="L68" s="49" t="str">
        <f>+G68</f>
        <v>MULTIRE BF-1</v>
      </c>
      <c r="M68" s="49" t="str">
        <f>+H68</f>
        <v>PRLV de Ventanilla a 28 días. Tasa Neta</v>
      </c>
    </row>
    <row r="69" spans="1:13" s="1" customFormat="1" x14ac:dyDescent="0.35">
      <c r="A69" s="33">
        <v>0</v>
      </c>
      <c r="B69" s="34">
        <v>45777</v>
      </c>
      <c r="C69" s="35">
        <f>VLOOKUP($B69,'MTX PRECIOS'!$A$5:$EC$94,C$66,0)</f>
        <v>6.5267109999999997</v>
      </c>
      <c r="D69" s="36">
        <f>VLOOKUP($B69,'MTX PRECIOS'!$A$5:$EC$94,D$66,0)</f>
        <v>124.7470089197863</v>
      </c>
      <c r="E69" s="37">
        <f>+F7</f>
        <v>100</v>
      </c>
      <c r="F69" s="37">
        <f>+F7</f>
        <v>100</v>
      </c>
      <c r="G69" s="46"/>
      <c r="H69" s="46"/>
      <c r="I69" s="46"/>
      <c r="J69" s="46"/>
      <c r="K69" s="44"/>
      <c r="L69" s="47"/>
      <c r="M69" s="47"/>
    </row>
    <row r="70" spans="1:13" s="1" customFormat="1" x14ac:dyDescent="0.35">
      <c r="A70" s="33">
        <f>+A69+1</f>
        <v>1</v>
      </c>
      <c r="B70" s="34">
        <f>VLOOKUP(B69,'MTX PRECIOS'!$EB$5:$EC$94,2,0)</f>
        <v>45807</v>
      </c>
      <c r="C70" s="35">
        <f>VLOOKUP($B70,'MTX PRECIOS'!$A$5:$EC$94,C$66,0)</f>
        <v>6.5642569999999996</v>
      </c>
      <c r="D70" s="36">
        <f>VLOOKUP($B70,'MTX PRECIOS'!$A$5:$EC$94,D$66,0)</f>
        <v>124.97987000310323</v>
      </c>
      <c r="E70" s="37">
        <f t="shared" ref="E70:F81" si="1">+(C70/C69)*E69</f>
        <v>100.5752667767885</v>
      </c>
      <c r="F70" s="37">
        <f t="shared" si="1"/>
        <v>100.18666666666667</v>
      </c>
      <c r="G70" s="47">
        <f>+C70/C69-1</f>
        <v>5.7526677678849669E-3</v>
      </c>
      <c r="H70" s="47">
        <f>+D70/D69-1</f>
        <v>1.8666666666666831E-3</v>
      </c>
      <c r="I70" s="46">
        <f>+G70*360/$K70</f>
        <v>6.9032013214619603E-2</v>
      </c>
      <c r="J70" s="46">
        <f>+H70*360/$K70</f>
        <v>2.2400000000000198E-2</v>
      </c>
      <c r="K70" s="45">
        <f>+B70-B69</f>
        <v>30</v>
      </c>
      <c r="L70" s="47">
        <f>+((C70/C69)^(360/$K70))-1</f>
        <v>7.1258592950729449E-2</v>
      </c>
      <c r="M70" s="47">
        <f>+((D70/D69)^(360/$K70))-1</f>
        <v>2.2631410306478195E-2</v>
      </c>
    </row>
    <row r="71" spans="1:13" s="1" customFormat="1" x14ac:dyDescent="0.35">
      <c r="A71" s="33">
        <f t="shared" ref="A71:A81" si="2">+A70+1</f>
        <v>2</v>
      </c>
      <c r="B71" s="34">
        <f>VLOOKUP(B70,'MTX PRECIOS'!$EB$5:$EC$94,2,0)</f>
        <v>45838</v>
      </c>
      <c r="C71" s="35">
        <f>VLOOKUP($B71,'MTX PRECIOS'!$A$5:$EC$94,C$66,0)</f>
        <v>6.5972330000000001</v>
      </c>
      <c r="D71" s="36">
        <f>VLOOKUP($B71,'MTX PRECIOS'!$A$5:$EC$94,D$66,0)</f>
        <v>125.21018013021451</v>
      </c>
      <c r="E71" s="37">
        <f t="shared" si="1"/>
        <v>101.08051360018854</v>
      </c>
      <c r="F71" s="37">
        <f t="shared" si="1"/>
        <v>100.37128842962964</v>
      </c>
      <c r="G71" s="47">
        <f t="shared" ref="G71:G81" si="3">+C71/C70-1</f>
        <v>5.0235693087581357E-3</v>
      </c>
      <c r="H71" s="47">
        <f t="shared" ref="H71:H81" si="4">+D71/D70-1</f>
        <v>1.8427777777778598E-3</v>
      </c>
      <c r="I71" s="46">
        <f t="shared" ref="I71:I81" si="5">+G71*360/$K71</f>
        <v>5.8338224230739637E-2</v>
      </c>
      <c r="J71" s="46">
        <f t="shared" ref="J71:J81" si="6">+H71*360/$K71</f>
        <v>2.1400000000000953E-2</v>
      </c>
      <c r="K71" s="45">
        <f t="shared" ref="K71:K81" si="7">+B71-B70</f>
        <v>31</v>
      </c>
      <c r="L71" s="47">
        <f t="shared" ref="L71:L81" si="8">+((C71/C70)^(360/$K71))-1</f>
        <v>5.991867139220064E-2</v>
      </c>
      <c r="M71" s="47">
        <f t="shared" ref="M71:M81" si="9">+((D71/D70)^(360/$K71))-1</f>
        <v>2.1610502849537472E-2</v>
      </c>
    </row>
    <row r="72" spans="1:13" s="1" customFormat="1" x14ac:dyDescent="0.35">
      <c r="A72" s="33">
        <f t="shared" si="2"/>
        <v>3</v>
      </c>
      <c r="B72" s="34">
        <f>VLOOKUP(B71,'MTX PRECIOS'!$EB$5:$EC$94,2,0)</f>
        <v>45869</v>
      </c>
      <c r="C72" s="35">
        <f>VLOOKUP($B72,'MTX PRECIOS'!$A$5:$EC$94,C$66,0)</f>
        <v>6.630541</v>
      </c>
      <c r="D72" s="36">
        <f>VLOOKUP($B72,'MTX PRECIOS'!$A$5:$EC$94,D$66,0)</f>
        <v>125.42905448120325</v>
      </c>
      <c r="E72" s="37">
        <f t="shared" si="1"/>
        <v>101.59084721232487</v>
      </c>
      <c r="F72" s="37">
        <f t="shared" si="1"/>
        <v>100.54674301798732</v>
      </c>
      <c r="G72" s="47">
        <f t="shared" si="3"/>
        <v>5.0487833308296981E-3</v>
      </c>
      <c r="H72" s="47">
        <f t="shared" si="4"/>
        <v>1.7480555555555721E-3</v>
      </c>
      <c r="I72" s="46">
        <f t="shared" si="5"/>
        <v>5.8631032228990042E-2</v>
      </c>
      <c r="J72" s="46">
        <f t="shared" si="6"/>
        <v>2.0300000000000193E-2</v>
      </c>
      <c r="K72" s="45">
        <f t="shared" si="7"/>
        <v>31</v>
      </c>
      <c r="L72" s="47">
        <f t="shared" si="8"/>
        <v>6.0227513885027228E-2</v>
      </c>
      <c r="M72" s="47">
        <f t="shared" si="9"/>
        <v>2.048936095330034E-2</v>
      </c>
    </row>
    <row r="73" spans="1:13" s="1" customFormat="1" x14ac:dyDescent="0.35">
      <c r="A73" s="33">
        <f t="shared" si="2"/>
        <v>4</v>
      </c>
      <c r="B73" s="34">
        <f>VLOOKUP(B72,'MTX PRECIOS'!$EB$5:$EC$94,2,0)</f>
        <v>45898</v>
      </c>
      <c r="C73" s="35">
        <f>VLOOKUP($B73,'MTX PRECIOS'!$A$5:$EC$94,C$66,0)</f>
        <v>6.6642510000000001</v>
      </c>
      <c r="D73" s="36">
        <f>VLOOKUP($B73,'MTX PRECIOS'!$A$5:$EC$94,D$66,0)</f>
        <v>125.62709302166745</v>
      </c>
      <c r="E73" s="37">
        <f t="shared" si="1"/>
        <v>102.10734012889495</v>
      </c>
      <c r="F73" s="37">
        <f t="shared" si="1"/>
        <v>100.70549515335239</v>
      </c>
      <c r="G73" s="47">
        <f t="shared" si="3"/>
        <v>5.0840497027315745E-3</v>
      </c>
      <c r="H73" s="47">
        <f t="shared" si="4"/>
        <v>1.5788888888887964E-3</v>
      </c>
      <c r="I73" s="46">
        <f t="shared" si="5"/>
        <v>6.3112341137357475E-2</v>
      </c>
      <c r="J73" s="46">
        <f t="shared" si="6"/>
        <v>1.9599999999998851E-2</v>
      </c>
      <c r="K73" s="45">
        <f t="shared" si="7"/>
        <v>29</v>
      </c>
      <c r="L73" s="47">
        <f t="shared" si="8"/>
        <v>6.4976198089023995E-2</v>
      </c>
      <c r="M73" s="47">
        <f t="shared" si="9"/>
        <v>1.9777578431724452E-2</v>
      </c>
    </row>
    <row r="74" spans="1:13" s="1" customFormat="1" x14ac:dyDescent="0.35">
      <c r="A74" s="33">
        <f t="shared" si="2"/>
        <v>5</v>
      </c>
      <c r="B74" s="34">
        <f>VLOOKUP(B73,'MTX PRECIOS'!$EB$5:$EC$94,2,0)</f>
        <v>45930</v>
      </c>
      <c r="C74" s="35">
        <f>VLOOKUP($B74,'MTX PRECIOS'!$A$5:$EC$94,C$66,0)</f>
        <v>6.6964790000000001</v>
      </c>
      <c r="D74" s="36">
        <f>VLOOKUP($B74,'MTX PRECIOS'!$A$5:$EC$94,D$66,0)</f>
        <v>125.84261327902905</v>
      </c>
      <c r="E74" s="37">
        <f t="shared" si="1"/>
        <v>102.60112635598543</v>
      </c>
      <c r="F74" s="37">
        <f t="shared" si="1"/>
        <v>100.87826102503769</v>
      </c>
      <c r="G74" s="47">
        <f t="shared" si="3"/>
        <v>4.8359523073184807E-3</v>
      </c>
      <c r="H74" s="47">
        <f t="shared" si="4"/>
        <v>1.7155555555554702E-3</v>
      </c>
      <c r="I74" s="46">
        <f t="shared" si="5"/>
        <v>5.4404463457332908E-2</v>
      </c>
      <c r="J74" s="46">
        <f t="shared" si="6"/>
        <v>1.929999999999904E-2</v>
      </c>
      <c r="K74" s="45">
        <f t="shared" si="7"/>
        <v>32</v>
      </c>
      <c r="L74" s="47">
        <f t="shared" si="8"/>
        <v>5.577314494007668E-2</v>
      </c>
      <c r="M74" s="47">
        <f t="shared" si="9"/>
        <v>1.9470590669462773E-2</v>
      </c>
    </row>
    <row r="75" spans="1:13" s="1" customFormat="1" x14ac:dyDescent="0.35">
      <c r="A75" s="33">
        <f t="shared" si="2"/>
        <v>6</v>
      </c>
      <c r="B75" s="34">
        <f>VLOOKUP(B74,'MTX PRECIOS'!$EB$5:$EC$94,2,0)</f>
        <v>45961</v>
      </c>
      <c r="C75" s="35">
        <f>VLOOKUP($B75,'MTX PRECIOS'!$A$5:$EC$94,C$66,0)</f>
        <v>6.730124</v>
      </c>
      <c r="D75" s="36">
        <f>VLOOKUP($B75,'MTX PRECIOS'!$A$5:$EC$94,D$66,0)</f>
        <v>126.05067306631705</v>
      </c>
      <c r="E75" s="37">
        <f t="shared" si="1"/>
        <v>103.11662336512219</v>
      </c>
      <c r="F75" s="37">
        <f t="shared" si="1"/>
        <v>101.04504641659908</v>
      </c>
      <c r="G75" s="47">
        <f t="shared" si="3"/>
        <v>5.0242821638057933E-3</v>
      </c>
      <c r="H75" s="47">
        <f t="shared" si="4"/>
        <v>1.6533333333332845E-3</v>
      </c>
      <c r="I75" s="46">
        <f t="shared" si="5"/>
        <v>5.8346502547422116E-2</v>
      </c>
      <c r="J75" s="46">
        <f t="shared" si="6"/>
        <v>1.9199999999999433E-2</v>
      </c>
      <c r="K75" s="45">
        <f t="shared" si="7"/>
        <v>31</v>
      </c>
      <c r="L75" s="47">
        <f t="shared" si="8"/>
        <v>5.9927401909287692E-2</v>
      </c>
      <c r="M75" s="47">
        <f t="shared" si="9"/>
        <v>1.9369343585026844E-2</v>
      </c>
    </row>
    <row r="76" spans="1:13" s="1" customFormat="1" x14ac:dyDescent="0.35">
      <c r="A76" s="33">
        <f t="shared" si="2"/>
        <v>7</v>
      </c>
      <c r="B76" s="34">
        <f>VLOOKUP(B75,'MTX PRECIOS'!$EB$5:$EC$94,2,0)</f>
        <v>45989</v>
      </c>
      <c r="C76" s="35">
        <f>VLOOKUP($B76,'MTX PRECIOS'!$A$5:$EC$94,C$66,0)</f>
        <v>6.756659</v>
      </c>
      <c r="D76" s="36">
        <f>VLOOKUP($B76,'MTX PRECIOS'!$A$5:$EC$94,D$66,0)</f>
        <v>126.23400676747683</v>
      </c>
      <c r="E76" s="37">
        <f t="shared" si="1"/>
        <v>103.52318342270708</v>
      </c>
      <c r="F76" s="37">
        <f t="shared" si="1"/>
        <v>101.19201082299833</v>
      </c>
      <c r="G76" s="47">
        <f t="shared" si="3"/>
        <v>3.9427208176252559E-3</v>
      </c>
      <c r="H76" s="47">
        <f t="shared" si="4"/>
        <v>1.4544444444444249E-3</v>
      </c>
      <c r="I76" s="46">
        <f t="shared" si="5"/>
        <v>5.0692124798039008E-2</v>
      </c>
      <c r="J76" s="46">
        <f t="shared" si="6"/>
        <v>1.8699999999999748E-2</v>
      </c>
      <c r="K76" s="45">
        <f t="shared" si="7"/>
        <v>28</v>
      </c>
      <c r="L76" s="47">
        <f t="shared" si="8"/>
        <v>5.1894110936759663E-2</v>
      </c>
      <c r="M76" s="47">
        <f t="shared" si="9"/>
        <v>1.8862097745236506E-2</v>
      </c>
    </row>
    <row r="77" spans="1:13" s="1" customFormat="1" x14ac:dyDescent="0.35">
      <c r="A77" s="33">
        <f t="shared" si="2"/>
        <v>8</v>
      </c>
      <c r="B77" s="34">
        <f>VLOOKUP(B76,'MTX PRECIOS'!$EB$5:$EC$94,2,0)</f>
        <v>46022</v>
      </c>
      <c r="C77" s="35">
        <f>VLOOKUP($B77,'MTX PRECIOS'!$A$5:$EC$94,C$66,0)</f>
        <v>6.7863559999999996</v>
      </c>
      <c r="D77" s="36">
        <f>VLOOKUP($B77,'MTX PRECIOS'!$A$5:$EC$94,D$66,0)</f>
        <v>126.44923574901539</v>
      </c>
      <c r="E77" s="37">
        <f t="shared" si="1"/>
        <v>103.97819054650955</v>
      </c>
      <c r="F77" s="37">
        <f t="shared" si="1"/>
        <v>101.36454320145154</v>
      </c>
      <c r="G77" s="47">
        <f t="shared" si="3"/>
        <v>4.3952195900369695E-3</v>
      </c>
      <c r="H77" s="47">
        <f t="shared" si="4"/>
        <v>1.7050000000000676E-3</v>
      </c>
      <c r="I77" s="46">
        <f t="shared" si="5"/>
        <v>4.7947850073130578E-2</v>
      </c>
      <c r="J77" s="46">
        <f t="shared" si="6"/>
        <v>1.8600000000000737E-2</v>
      </c>
      <c r="K77" s="45">
        <f t="shared" si="7"/>
        <v>33</v>
      </c>
      <c r="L77" s="47">
        <f t="shared" si="8"/>
        <v>4.9005725175721659E-2</v>
      </c>
      <c r="M77" s="47">
        <f t="shared" si="9"/>
        <v>1.8757921757046159E-2</v>
      </c>
    </row>
    <row r="78" spans="1:13" s="1" customFormat="1" x14ac:dyDescent="0.35">
      <c r="A78" s="33">
        <f t="shared" si="2"/>
        <v>9</v>
      </c>
      <c r="B78" s="34">
        <f>VLOOKUP(B77,'MTX PRECIOS'!$EB$5:$EC$94,2,0)</f>
        <v>46052</v>
      </c>
      <c r="C78" s="35">
        <f>VLOOKUP($B78,'MTX PRECIOS'!$A$5:$EC$94,C$66,0)</f>
        <v>6.8145090000000001</v>
      </c>
      <c r="D78" s="36">
        <f>VLOOKUP($B78,'MTX PRECIOS'!$A$5:$EC$94,D$66,0)</f>
        <v>126.64207083353263</v>
      </c>
      <c r="E78" s="37">
        <f t="shared" si="1"/>
        <v>104.40954103835759</v>
      </c>
      <c r="F78" s="37">
        <f t="shared" si="1"/>
        <v>101.51912412983376</v>
      </c>
      <c r="G78" s="47">
        <f t="shared" si="3"/>
        <v>4.1484708435572948E-3</v>
      </c>
      <c r="H78" s="47">
        <f t="shared" si="4"/>
        <v>1.5249999999999986E-3</v>
      </c>
      <c r="I78" s="46">
        <f t="shared" si="5"/>
        <v>4.9781650122687537E-2</v>
      </c>
      <c r="J78" s="46">
        <f t="shared" si="6"/>
        <v>1.8299999999999983E-2</v>
      </c>
      <c r="K78" s="45">
        <f t="shared" si="7"/>
        <v>30</v>
      </c>
      <c r="L78" s="47">
        <f t="shared" si="8"/>
        <v>5.0933351958072137E-2</v>
      </c>
      <c r="M78" s="47">
        <f t="shared" si="9"/>
        <v>1.8454274180954133E-2</v>
      </c>
    </row>
    <row r="79" spans="1:13" s="1" customFormat="1" x14ac:dyDescent="0.35">
      <c r="A79" s="33">
        <f t="shared" si="2"/>
        <v>10</v>
      </c>
      <c r="B79" s="34">
        <f>VLOOKUP(B78,'MTX PRECIOS'!$EB$5:$EC$94,2,0)</f>
        <v>46080</v>
      </c>
      <c r="C79" s="35">
        <f>VLOOKUP($B79,'MTX PRECIOS'!$A$5:$EC$94,C$66,0)</f>
        <v>6.8382050000000003</v>
      </c>
      <c r="D79" s="36">
        <f>VLOOKUP($B79,'MTX PRECIOS'!$A$5:$EC$94,D$66,0)</f>
        <v>126.82232471435236</v>
      </c>
      <c r="E79" s="37">
        <f t="shared" si="1"/>
        <v>104.77260292358584</v>
      </c>
      <c r="F79" s="37">
        <f t="shared" si="1"/>
        <v>101.66361968317855</v>
      </c>
      <c r="G79" s="47">
        <f t="shared" si="3"/>
        <v>3.477286478013264E-3</v>
      </c>
      <c r="H79" s="47">
        <f t="shared" si="4"/>
        <v>1.423333333333332E-3</v>
      </c>
      <c r="I79" s="46">
        <f t="shared" si="5"/>
        <v>4.4707969003027682E-2</v>
      </c>
      <c r="J79" s="46">
        <f t="shared" si="6"/>
        <v>1.8299999999999983E-2</v>
      </c>
      <c r="K79" s="45">
        <f t="shared" si="7"/>
        <v>28</v>
      </c>
      <c r="L79" s="47">
        <f t="shared" si="8"/>
        <v>4.5641337770641277E-2</v>
      </c>
      <c r="M79" s="47">
        <f t="shared" si="9"/>
        <v>1.8455219739365925E-2</v>
      </c>
    </row>
    <row r="80" spans="1:13" s="1" customFormat="1" x14ac:dyDescent="0.35">
      <c r="A80" s="33">
        <f t="shared" si="2"/>
        <v>11</v>
      </c>
      <c r="B80" s="34">
        <f>VLOOKUP(B79,'MTX PRECIOS'!$EB$5:$EC$94,2,0)</f>
        <v>46112</v>
      </c>
      <c r="C80" s="35">
        <f>VLOOKUP($B80,'MTX PRECIOS'!$A$5:$EC$94,C$66,0)</f>
        <v>6.8607649999999998</v>
      </c>
      <c r="D80" s="36">
        <f>VLOOKUP($B80,'MTX PRECIOS'!$A$5:$EC$94,D$66,0)</f>
        <v>127.01960388613024</v>
      </c>
      <c r="E80" s="37">
        <f t="shared" si="1"/>
        <v>105.1182594112103</v>
      </c>
      <c r="F80" s="37">
        <f t="shared" si="1"/>
        <v>101.82176309157461</v>
      </c>
      <c r="G80" s="47">
        <f t="shared" si="3"/>
        <v>3.2991113896116975E-3</v>
      </c>
      <c r="H80" s="47">
        <f t="shared" si="4"/>
        <v>1.5555555555555323E-3</v>
      </c>
      <c r="I80" s="46">
        <f t="shared" si="5"/>
        <v>3.7115003133131597E-2</v>
      </c>
      <c r="J80" s="46">
        <f t="shared" si="6"/>
        <v>1.7499999999999738E-2</v>
      </c>
      <c r="K80" s="45">
        <f t="shared" si="7"/>
        <v>32</v>
      </c>
      <c r="L80" s="47">
        <f t="shared" si="8"/>
        <v>3.7748968726019294E-2</v>
      </c>
      <c r="M80" s="47">
        <f t="shared" si="9"/>
        <v>1.7640185190543445E-2</v>
      </c>
    </row>
    <row r="81" spans="1:13" s="1" customFormat="1" x14ac:dyDescent="0.35">
      <c r="A81" s="178">
        <f t="shared" si="2"/>
        <v>12</v>
      </c>
      <c r="B81" s="179">
        <f>VLOOKUP(B80,'MTX PRECIOS'!$EB$5:$EC$94,2,0)</f>
        <v>46142</v>
      </c>
      <c r="C81" s="180">
        <f>VLOOKUP($B81,'MTX PRECIOS'!$A$5:$EC$94,C$66,0)</f>
        <v>6.8893259999999996</v>
      </c>
      <c r="D81" s="181">
        <f>VLOOKUP($B81,'MTX PRECIOS'!$A$5:$EC$94,D$66,0)</f>
        <v>127.20484080846418</v>
      </c>
      <c r="E81" s="182">
        <f t="shared" si="1"/>
        <v>105.55586113740898</v>
      </c>
      <c r="F81" s="182">
        <f t="shared" si="1"/>
        <v>101.97025316274983</v>
      </c>
      <c r="G81" s="183">
        <f t="shared" si="3"/>
        <v>4.1629468433912464E-3</v>
      </c>
      <c r="H81" s="183">
        <f t="shared" si="4"/>
        <v>1.4583333333333393E-3</v>
      </c>
      <c r="I81" s="184">
        <f t="shared" si="5"/>
        <v>4.9955362120694957E-2</v>
      </c>
      <c r="J81" s="184">
        <f t="shared" si="6"/>
        <v>1.7500000000000071E-2</v>
      </c>
      <c r="K81" s="185">
        <f t="shared" si="7"/>
        <v>30</v>
      </c>
      <c r="L81" s="47">
        <f t="shared" si="8"/>
        <v>5.1115171891407352E-2</v>
      </c>
      <c r="M81" s="47">
        <f t="shared" si="9"/>
        <v>1.7641049155291189E-2</v>
      </c>
    </row>
    <row r="82" spans="1:13" s="1" customFormat="1" x14ac:dyDescent="0.35">
      <c r="A82" s="186" t="s">
        <v>264</v>
      </c>
      <c r="B82" s="187"/>
      <c r="C82" s="188">
        <f>+C81/C69-1</f>
        <v>5.5558611374090239E-2</v>
      </c>
      <c r="D82" s="188">
        <f t="shared" ref="D82:F82" si="10">+D81/D69-1</f>
        <v>1.9702531627498132E-2</v>
      </c>
      <c r="E82" s="188">
        <f t="shared" si="10"/>
        <v>5.5558611374089795E-2</v>
      </c>
      <c r="F82" s="188">
        <f t="shared" si="10"/>
        <v>1.9702531627498354E-2</v>
      </c>
      <c r="G82" s="189">
        <f>+C81/C69-1</f>
        <v>5.5558611374090239E-2</v>
      </c>
      <c r="H82" s="189">
        <f>+D81/D69-1</f>
        <v>1.9702531627498132E-2</v>
      </c>
      <c r="I82" s="190">
        <f>+(C81/C69-1)*(360/(B81-B69))</f>
        <v>5.4797534505952011E-2</v>
      </c>
      <c r="J82" s="190">
        <f>+(D81/D69-1)*(360/(B81-B69))</f>
        <v>1.943263393397076E-2</v>
      </c>
      <c r="K82" s="191">
        <f>SUM(K70:K81)</f>
        <v>365</v>
      </c>
      <c r="L82" s="177">
        <f>+((C81/C69)^(360/$K82))-1</f>
        <v>5.4777062812326971E-2</v>
      </c>
      <c r="M82" s="47">
        <f>+((D81/D69)^(360/$K82))-1</f>
        <v>1.9430028809936717E-2</v>
      </c>
    </row>
    <row r="83" spans="1:13" s="1" customFormat="1" x14ac:dyDescent="0.35">
      <c r="A83" s="1" t="s">
        <v>192</v>
      </c>
      <c r="J83" s="25"/>
      <c r="K83" s="26"/>
      <c r="L83" s="26"/>
    </row>
    <row r="84" spans="1:13" s="1" customFormat="1" x14ac:dyDescent="0.35">
      <c r="A84" s="1" t="s">
        <v>180</v>
      </c>
      <c r="J84" s="25"/>
      <c r="K84" s="26"/>
      <c r="L84" s="26"/>
    </row>
    <row r="85" spans="1:13" s="1" customFormat="1" x14ac:dyDescent="0.35">
      <c r="J85" s="25"/>
      <c r="K85" s="26"/>
      <c r="L85" s="26"/>
    </row>
    <row r="86" spans="1:13" s="1" customFormat="1" x14ac:dyDescent="0.35">
      <c r="E86" s="136" t="str">
        <f>TEXT(E81,"$#,###.00")</f>
        <v>$105.56</v>
      </c>
      <c r="F86" s="140" t="str">
        <f>TEXT(F81,"$#,###.00")</f>
        <v>$101.97</v>
      </c>
      <c r="J86" s="25"/>
      <c r="K86" s="26"/>
      <c r="L86" s="26"/>
    </row>
    <row r="87" spans="1:13" s="1" customFormat="1" x14ac:dyDescent="0.35">
      <c r="F87" s="75" t="s">
        <v>196</v>
      </c>
      <c r="G87" s="47">
        <f>+AVERAGE(G70:G81)</f>
        <v>4.5162550452970312E-3</v>
      </c>
      <c r="H87" s="47">
        <f t="shared" ref="H87:J87" si="11">+AVERAGE(H70:H81)</f>
        <v>1.6272453703703633E-3</v>
      </c>
      <c r="I87" s="47">
        <f t="shared" si="11"/>
        <v>5.3505378005597758E-2</v>
      </c>
      <c r="J87" s="47">
        <f t="shared" si="11"/>
        <v>1.9258333333333242E-2</v>
      </c>
      <c r="K87" s="26"/>
      <c r="L87" s="26"/>
    </row>
    <row r="88" spans="1:13" s="1" customFormat="1" x14ac:dyDescent="0.35">
      <c r="F88" s="75" t="s">
        <v>197</v>
      </c>
      <c r="G88" s="47">
        <f>+STDEV(G70:G81)</f>
        <v>7.3341892912449555E-4</v>
      </c>
      <c r="H88" s="47">
        <f t="shared" ref="H88:J88" si="12">+STDEV(H70:H81)</f>
        <v>1.5099680290790203E-4</v>
      </c>
      <c r="I88" s="47">
        <f t="shared" si="12"/>
        <v>8.6263432837450395E-3</v>
      </c>
      <c r="J88" s="47">
        <f t="shared" si="12"/>
        <v>1.4902460646932724E-3</v>
      </c>
      <c r="K88" s="26"/>
      <c r="L88" s="26"/>
    </row>
    <row r="89" spans="1:13" s="1" customFormat="1" x14ac:dyDescent="0.35">
      <c r="F89" s="75" t="s">
        <v>198</v>
      </c>
      <c r="G89" s="76">
        <f>IF(G87&gt;0,(G88/G87), )</f>
        <v>0.1623953744348951</v>
      </c>
      <c r="H89" s="76">
        <f t="shared" ref="H89:J89" si="13">IF(H87&gt;0,(H88/H87), )</f>
        <v>9.2792891384004955E-2</v>
      </c>
      <c r="I89" s="76">
        <f t="shared" si="13"/>
        <v>0.16122385459724342</v>
      </c>
      <c r="J89" s="76">
        <f t="shared" si="13"/>
        <v>7.7381881334138272E-2</v>
      </c>
      <c r="K89" s="26"/>
      <c r="L89" s="26"/>
    </row>
    <row r="90" spans="1:13" s="1" customFormat="1" x14ac:dyDescent="0.35">
      <c r="J90" s="25"/>
      <c r="K90" s="26"/>
      <c r="L90" s="26"/>
    </row>
    <row r="91" spans="1:13" s="1" customFormat="1" x14ac:dyDescent="0.35">
      <c r="G91" s="74"/>
      <c r="H91" s="72"/>
      <c r="I91" s="73"/>
      <c r="J91" s="26"/>
      <c r="K91" s="26"/>
      <c r="L91" s="26"/>
    </row>
    <row r="92" spans="1:13" s="1" customFormat="1" x14ac:dyDescent="0.35">
      <c r="J92" s="25"/>
      <c r="K92" s="26"/>
      <c r="L92" s="26"/>
    </row>
    <row r="93" spans="1:13" s="1" customFormat="1" x14ac:dyDescent="0.35">
      <c r="J93" s="25"/>
      <c r="K93" s="26"/>
      <c r="L93" s="26"/>
    </row>
    <row r="94" spans="1:13" s="1" customFormat="1" x14ac:dyDescent="0.35">
      <c r="J94" s="25"/>
      <c r="K94" s="26"/>
      <c r="L94" s="26"/>
    </row>
    <row r="95" spans="1:13" s="1" customFormat="1" x14ac:dyDescent="0.35">
      <c r="J95" s="25"/>
      <c r="K95" s="26"/>
      <c r="L95" s="26"/>
    </row>
    <row r="96" spans="1:13" s="1" customFormat="1" x14ac:dyDescent="0.35">
      <c r="J96" s="25"/>
      <c r="K96" s="26"/>
      <c r="L96" s="26"/>
    </row>
    <row r="97" spans="10:12" s="1" customFormat="1" x14ac:dyDescent="0.35">
      <c r="J97" s="25"/>
      <c r="K97" s="26"/>
      <c r="L97" s="26"/>
    </row>
    <row r="98" spans="10:12" s="1" customFormat="1" x14ac:dyDescent="0.35">
      <c r="J98" s="25"/>
      <c r="K98" s="26"/>
      <c r="L98" s="26"/>
    </row>
    <row r="99" spans="10:12" s="1" customFormat="1" x14ac:dyDescent="0.35">
      <c r="J99" s="25"/>
      <c r="K99" s="26"/>
      <c r="L99" s="26"/>
    </row>
    <row r="100" spans="10:12" s="1" customFormat="1" x14ac:dyDescent="0.35">
      <c r="J100" s="25"/>
      <c r="K100" s="26"/>
      <c r="L100" s="26"/>
    </row>
    <row r="101" spans="10:12" s="1" customFormat="1" x14ac:dyDescent="0.35">
      <c r="J101" s="25"/>
      <c r="K101" s="26"/>
      <c r="L101" s="26"/>
    </row>
    <row r="102" spans="10:12" s="1" customFormat="1" x14ac:dyDescent="0.35">
      <c r="J102" s="25"/>
      <c r="K102" s="26"/>
      <c r="L102" s="26"/>
    </row>
    <row r="103" spans="10:12" s="1" customFormat="1" x14ac:dyDescent="0.35">
      <c r="J103" s="25"/>
      <c r="K103" s="26"/>
      <c r="L103" s="26"/>
    </row>
    <row r="104" spans="10:12" s="1" customFormat="1" x14ac:dyDescent="0.35">
      <c r="J104" s="25"/>
      <c r="K104" s="26"/>
      <c r="L104" s="26"/>
    </row>
    <row r="105" spans="10:12" s="1" customFormat="1" x14ac:dyDescent="0.35">
      <c r="J105" s="25"/>
      <c r="K105" s="26"/>
      <c r="L105" s="26"/>
    </row>
    <row r="106" spans="10:12" s="1" customFormat="1" x14ac:dyDescent="0.35">
      <c r="J106" s="25"/>
      <c r="K106" s="26"/>
      <c r="L106" s="26"/>
    </row>
    <row r="107" spans="10:12" s="1" customFormat="1" x14ac:dyDescent="0.35">
      <c r="J107" s="25"/>
      <c r="K107" s="26"/>
      <c r="L107" s="26"/>
    </row>
    <row r="108" spans="10:12" s="1" customFormat="1" x14ac:dyDescent="0.35">
      <c r="J108" s="25"/>
      <c r="K108" s="26"/>
      <c r="L108" s="26"/>
    </row>
    <row r="109" spans="10:12" s="1" customFormat="1" x14ac:dyDescent="0.35">
      <c r="J109" s="25"/>
      <c r="K109" s="26"/>
      <c r="L109" s="26"/>
    </row>
    <row r="110" spans="10:12" s="1" customFormat="1" x14ac:dyDescent="0.35">
      <c r="J110" s="25"/>
      <c r="K110" s="26"/>
      <c r="L110" s="26"/>
    </row>
    <row r="111" spans="10:12" s="1" customFormat="1" x14ac:dyDescent="0.35">
      <c r="J111" s="25"/>
      <c r="K111" s="26"/>
      <c r="L111" s="26"/>
    </row>
    <row r="112" spans="10:12" s="1" customFormat="1" x14ac:dyDescent="0.35">
      <c r="J112" s="25"/>
      <c r="K112" s="26"/>
      <c r="L112" s="26"/>
    </row>
    <row r="113" spans="10:12" s="1" customFormat="1" x14ac:dyDescent="0.35">
      <c r="J113" s="25"/>
      <c r="K113" s="26"/>
      <c r="L113" s="26"/>
    </row>
    <row r="114" spans="10:12" s="1" customFormat="1" x14ac:dyDescent="0.35">
      <c r="J114" s="25"/>
      <c r="K114" s="26"/>
      <c r="L114" s="26"/>
    </row>
    <row r="115" spans="10:12" s="1" customFormat="1" x14ac:dyDescent="0.35">
      <c r="J115" s="25"/>
      <c r="K115" s="26"/>
      <c r="L115" s="26"/>
    </row>
    <row r="116" spans="10:12" s="1" customFormat="1" x14ac:dyDescent="0.35">
      <c r="J116" s="25"/>
      <c r="K116" s="26"/>
      <c r="L116" s="26"/>
    </row>
    <row r="117" spans="10:12" s="1" customFormat="1" x14ac:dyDescent="0.35">
      <c r="J117" s="25"/>
      <c r="K117" s="26"/>
      <c r="L117" s="26"/>
    </row>
    <row r="118" spans="10:12" s="1" customFormat="1" x14ac:dyDescent="0.35">
      <c r="J118" s="25"/>
      <c r="K118" s="26"/>
      <c r="L118" s="26"/>
    </row>
    <row r="119" spans="10:12" s="1" customFormat="1" x14ac:dyDescent="0.35">
      <c r="J119" s="25"/>
      <c r="K119" s="26"/>
      <c r="L119" s="26"/>
    </row>
    <row r="120" spans="10:12" s="1" customFormat="1" x14ac:dyDescent="0.35">
      <c r="J120" s="25"/>
      <c r="K120" s="26"/>
      <c r="L120" s="26"/>
    </row>
    <row r="121" spans="10:12" s="1" customFormat="1" x14ac:dyDescent="0.35">
      <c r="J121" s="25"/>
      <c r="K121" s="26"/>
      <c r="L121" s="26"/>
    </row>
    <row r="122" spans="10:12" s="1" customFormat="1" x14ac:dyDescent="0.35">
      <c r="J122" s="25"/>
      <c r="K122" s="26"/>
      <c r="L122" s="26"/>
    </row>
    <row r="123" spans="10:12" s="1" customFormat="1" x14ac:dyDescent="0.35">
      <c r="J123" s="25"/>
      <c r="K123" s="26"/>
      <c r="L123" s="26"/>
    </row>
    <row r="124" spans="10:12" s="1" customFormat="1" x14ac:dyDescent="0.35">
      <c r="J124" s="25"/>
      <c r="K124" s="26"/>
      <c r="L124" s="26"/>
    </row>
    <row r="125" spans="10:12" s="1" customFormat="1" x14ac:dyDescent="0.35">
      <c r="J125" s="25"/>
      <c r="K125" s="26"/>
      <c r="L125" s="26"/>
    </row>
    <row r="126" spans="10:12" s="1" customFormat="1" x14ac:dyDescent="0.35">
      <c r="J126" s="25"/>
      <c r="K126" s="26"/>
      <c r="L126" s="26"/>
    </row>
    <row r="127" spans="10:12" s="1" customFormat="1" x14ac:dyDescent="0.35">
      <c r="J127" s="25"/>
      <c r="K127" s="26"/>
      <c r="L127" s="26"/>
    </row>
    <row r="128" spans="10:12" s="1" customFormat="1" x14ac:dyDescent="0.35">
      <c r="J128" s="25"/>
      <c r="K128" s="26"/>
      <c r="L128" s="26"/>
    </row>
    <row r="129" spans="1:12" s="1" customFormat="1" x14ac:dyDescent="0.35">
      <c r="J129" s="25"/>
      <c r="K129" s="26"/>
      <c r="L129" s="26"/>
    </row>
    <row r="130" spans="1:12" s="1" customFormat="1" x14ac:dyDescent="0.35">
      <c r="J130" s="25"/>
      <c r="K130" s="26"/>
      <c r="L130" s="26"/>
    </row>
    <row r="131" spans="1:12" s="1" customFormat="1" x14ac:dyDescent="0.35">
      <c r="J131" s="25"/>
      <c r="K131" s="26"/>
      <c r="L131" s="26"/>
    </row>
    <row r="132" spans="1:12" s="1" customFormat="1" x14ac:dyDescent="0.35">
      <c r="J132" s="25"/>
      <c r="K132" s="26"/>
      <c r="L132" s="26"/>
    </row>
    <row r="133" spans="1:12" s="1" customFormat="1" x14ac:dyDescent="0.35">
      <c r="J133" s="25"/>
      <c r="K133" s="26"/>
      <c r="L133" s="26"/>
    </row>
    <row r="134" spans="1:12" s="1" customFormat="1" x14ac:dyDescent="0.35">
      <c r="J134" s="25"/>
      <c r="K134" s="26"/>
      <c r="L134" s="26"/>
    </row>
    <row r="135" spans="1:12" s="1" customFormat="1" x14ac:dyDescent="0.35">
      <c r="J135" s="25"/>
      <c r="K135" s="26"/>
      <c r="L135" s="26"/>
    </row>
    <row r="136" spans="1:12" s="1" customFormat="1" x14ac:dyDescent="0.35">
      <c r="J136" s="25"/>
      <c r="K136" s="26"/>
      <c r="L136" s="26"/>
    </row>
    <row r="137" spans="1:12" s="1" customFormat="1" x14ac:dyDescent="0.35">
      <c r="J137" s="25"/>
      <c r="K137" s="26"/>
      <c r="L137" s="26"/>
    </row>
    <row r="138" spans="1:12" hidden="1" x14ac:dyDescent="0.35">
      <c r="A138" t="s">
        <v>25</v>
      </c>
      <c r="B138" t="s">
        <v>169</v>
      </c>
      <c r="D138" s="1"/>
    </row>
    <row r="139" spans="1:12" hidden="1" x14ac:dyDescent="0.35">
      <c r="A139" t="s">
        <v>0</v>
      </c>
      <c r="B139" s="23">
        <f>VLOOKUP(A139,'MTX CARAC'!$A$4:$W$131,21,0)</f>
        <v>0</v>
      </c>
      <c r="C139" s="23"/>
      <c r="D139" s="1"/>
    </row>
    <row r="140" spans="1:12" hidden="1" x14ac:dyDescent="0.35">
      <c r="A140" t="s">
        <v>1</v>
      </c>
      <c r="B140" s="23">
        <f>VLOOKUP(A140,'MTX CARAC'!$A$4:$W$131,21,0)</f>
        <v>0</v>
      </c>
      <c r="C140" s="23"/>
      <c r="D140" s="1"/>
    </row>
    <row r="141" spans="1:12" hidden="1" x14ac:dyDescent="0.35">
      <c r="A141" t="s">
        <v>151</v>
      </c>
      <c r="B141" s="23">
        <f>VLOOKUP(A141,'MTX CARAC'!$A$4:$W$131,21,0)</f>
        <v>0</v>
      </c>
      <c r="C141" s="23"/>
      <c r="D141" s="1"/>
    </row>
    <row r="142" spans="1:12" hidden="1" x14ac:dyDescent="0.35">
      <c r="A142" t="s">
        <v>152</v>
      </c>
      <c r="B142" s="21">
        <f>VLOOKUP(A142,'MTX CARAC'!$A$4:$W$131,21,0)</f>
        <v>0</v>
      </c>
      <c r="C142" s="21"/>
      <c r="D142" s="1"/>
    </row>
    <row r="143" spans="1:12" hidden="1" x14ac:dyDescent="0.35">
      <c r="A143" t="s">
        <v>2</v>
      </c>
      <c r="B143" s="23">
        <f>VLOOKUP(A143,'MTX CARAC'!$A$4:$W$131,21,0)</f>
        <v>0</v>
      </c>
      <c r="C143" s="23"/>
      <c r="D143" s="1"/>
    </row>
    <row r="144" spans="1:12" hidden="1" x14ac:dyDescent="0.35">
      <c r="A144" t="s">
        <v>150</v>
      </c>
      <c r="B144" s="21">
        <f>VLOOKUP(A144,'MTX CARAC'!$A$4:$W$131,21,0)</f>
        <v>0</v>
      </c>
      <c r="C144" s="21"/>
      <c r="D144" s="1"/>
    </row>
    <row r="145" spans="1:4" hidden="1" x14ac:dyDescent="0.35">
      <c r="A145" t="s">
        <v>84</v>
      </c>
      <c r="B145" s="22">
        <f>VLOOKUP(A145,'MTX CARAC'!$A$4:$W$131,21,0)</f>
        <v>0</v>
      </c>
      <c r="C145" s="22"/>
      <c r="D145" s="1"/>
    </row>
    <row r="146" spans="1:4" hidden="1" x14ac:dyDescent="0.35">
      <c r="A146" t="s">
        <v>85</v>
      </c>
      <c r="B146" s="22">
        <f>VLOOKUP(A146,'MTX CARAC'!$A$4:$W$131,21,0)</f>
        <v>0</v>
      </c>
      <c r="C146" s="22"/>
      <c r="D146" s="1"/>
    </row>
    <row r="147" spans="1:4" hidden="1" x14ac:dyDescent="0.35">
      <c r="A147" t="s">
        <v>88</v>
      </c>
      <c r="B147" s="22">
        <f>VLOOKUP(A147,'MTX CARAC'!$A$4:$W$131,21,0)</f>
        <v>0</v>
      </c>
      <c r="C147" s="22"/>
      <c r="D147" s="1"/>
    </row>
    <row r="148" spans="1:4" hidden="1" x14ac:dyDescent="0.35">
      <c r="A148" t="s">
        <v>89</v>
      </c>
      <c r="B148" s="22">
        <f>VLOOKUP(A148,'MTX CARAC'!$A$4:$W$131,21,0)</f>
        <v>0</v>
      </c>
      <c r="C148" s="22"/>
      <c r="D148" s="1"/>
    </row>
    <row r="149" spans="1:4" hidden="1" x14ac:dyDescent="0.35">
      <c r="A149" t="s">
        <v>90</v>
      </c>
      <c r="B149" s="22">
        <f>VLOOKUP(A149,'MTX CARAC'!$A$4:$W$131,21,0)</f>
        <v>0</v>
      </c>
      <c r="C149" s="22"/>
      <c r="D149" s="1"/>
    </row>
    <row r="150" spans="1:4" hidden="1" x14ac:dyDescent="0.35">
      <c r="A150" t="s">
        <v>86</v>
      </c>
      <c r="B150" s="22">
        <f>VLOOKUP(A150,'MTX CARAC'!$A$4:$W$131,21,0)</f>
        <v>0</v>
      </c>
      <c r="C150" s="22"/>
      <c r="D150" s="1"/>
    </row>
    <row r="151" spans="1:4" hidden="1" x14ac:dyDescent="0.35">
      <c r="A151" t="s">
        <v>87</v>
      </c>
      <c r="B151" s="22">
        <f>VLOOKUP(A151,'MTX CARAC'!$A$4:$W$131,21,0)</f>
        <v>0</v>
      </c>
      <c r="C151" s="22"/>
      <c r="D151" s="1"/>
    </row>
    <row r="152" spans="1:4" hidden="1" x14ac:dyDescent="0.35">
      <c r="A152" t="s">
        <v>92</v>
      </c>
      <c r="B152" s="22">
        <f>VLOOKUP(A152,'MTX CARAC'!$A$4:$W$131,21,0)</f>
        <v>0</v>
      </c>
      <c r="C152" s="22"/>
      <c r="D152" s="1"/>
    </row>
    <row r="153" spans="1:4" hidden="1" x14ac:dyDescent="0.35">
      <c r="A153" t="s">
        <v>93</v>
      </c>
      <c r="B153" s="22">
        <f>VLOOKUP(A153,'MTX CARAC'!$A$4:$W$131,21,0)</f>
        <v>0</v>
      </c>
      <c r="C153" s="22"/>
      <c r="D153" s="1"/>
    </row>
    <row r="154" spans="1:4" hidden="1" x14ac:dyDescent="0.35">
      <c r="A154" t="s">
        <v>94</v>
      </c>
      <c r="B154" s="22">
        <f>VLOOKUP(A154,'MTX CARAC'!$A$4:$W$131,21,0)</f>
        <v>0</v>
      </c>
      <c r="C154" s="22"/>
      <c r="D154" s="1"/>
    </row>
    <row r="155" spans="1:4" hidden="1" x14ac:dyDescent="0.35">
      <c r="A155" t="s">
        <v>91</v>
      </c>
      <c r="B155" s="22">
        <f>VLOOKUP(A155,'MTX CARAC'!$A$4:$W$131,21,0)</f>
        <v>0</v>
      </c>
      <c r="C155" s="22"/>
      <c r="D155" s="1"/>
    </row>
    <row r="156" spans="1:4" hidden="1" x14ac:dyDescent="0.35">
      <c r="A156" t="s">
        <v>114</v>
      </c>
      <c r="B156" s="10">
        <f>VLOOKUP(A156,'MTX CARAC'!$A$4:$W$131,21,0)</f>
        <v>0</v>
      </c>
      <c r="C156" s="10"/>
      <c r="D156" s="1"/>
    </row>
    <row r="157" spans="1:4" hidden="1" x14ac:dyDescent="0.35">
      <c r="A157" t="s">
        <v>115</v>
      </c>
      <c r="B157" s="10">
        <f>VLOOKUP(A157,'MTX CARAC'!$A$4:$W$131,21,0)</f>
        <v>0</v>
      </c>
      <c r="C157" s="10"/>
      <c r="D157" s="1"/>
    </row>
    <row r="158" spans="1:4" hidden="1" x14ac:dyDescent="0.35">
      <c r="A158" t="s">
        <v>118</v>
      </c>
      <c r="B158" s="10">
        <f>VLOOKUP(A158,'MTX CARAC'!$A$4:$W$131,21,0)</f>
        <v>0</v>
      </c>
      <c r="C158" s="10"/>
      <c r="D158" s="1"/>
    </row>
    <row r="159" spans="1:4" hidden="1" x14ac:dyDescent="0.35">
      <c r="A159" t="s">
        <v>119</v>
      </c>
      <c r="B159" s="10">
        <f>VLOOKUP(A159,'MTX CARAC'!$A$4:$W$131,21,0)</f>
        <v>0</v>
      </c>
      <c r="C159" s="10"/>
      <c r="D159" s="1"/>
    </row>
    <row r="160" spans="1:4" hidden="1" x14ac:dyDescent="0.35">
      <c r="A160" t="s">
        <v>120</v>
      </c>
      <c r="B160" s="10">
        <f>VLOOKUP(A160,'MTX CARAC'!$A$4:$W$131,21,0)</f>
        <v>0</v>
      </c>
      <c r="C160" s="10"/>
      <c r="D160" s="1"/>
    </row>
    <row r="161" spans="1:4" hidden="1" x14ac:dyDescent="0.35">
      <c r="A161" t="s">
        <v>116</v>
      </c>
      <c r="B161" s="10">
        <f>VLOOKUP(A161,'MTX CARAC'!$A$4:$W$131,21,0)</f>
        <v>0</v>
      </c>
      <c r="C161" s="10"/>
      <c r="D161" s="1"/>
    </row>
    <row r="162" spans="1:4" hidden="1" x14ac:dyDescent="0.35">
      <c r="A162" t="s">
        <v>117</v>
      </c>
      <c r="B162" s="10">
        <f>VLOOKUP(A162,'MTX CARAC'!$A$4:$W$131,21,0)</f>
        <v>0</v>
      </c>
      <c r="C162" s="10"/>
      <c r="D162" s="1"/>
    </row>
    <row r="163" spans="1:4" hidden="1" x14ac:dyDescent="0.35">
      <c r="A163" t="s">
        <v>122</v>
      </c>
      <c r="B163" s="10">
        <f>VLOOKUP(A163,'MTX CARAC'!$A$4:$W$131,21,0)</f>
        <v>0</v>
      </c>
      <c r="C163" s="10"/>
      <c r="D163" s="1"/>
    </row>
    <row r="164" spans="1:4" hidden="1" x14ac:dyDescent="0.35">
      <c r="A164" t="s">
        <v>123</v>
      </c>
      <c r="B164" s="10">
        <f>VLOOKUP(A164,'MTX CARAC'!$A$4:$W$131,21,0)</f>
        <v>0</v>
      </c>
      <c r="C164" s="10"/>
      <c r="D164" s="1"/>
    </row>
    <row r="165" spans="1:4" hidden="1" x14ac:dyDescent="0.35">
      <c r="A165" t="s">
        <v>124</v>
      </c>
      <c r="B165" s="10">
        <f>VLOOKUP(A165,'MTX CARAC'!$A$4:$W$131,21,0)</f>
        <v>0</v>
      </c>
      <c r="C165" s="10"/>
      <c r="D165" s="1"/>
    </row>
    <row r="166" spans="1:4" hidden="1" x14ac:dyDescent="0.35">
      <c r="A166" t="s">
        <v>121</v>
      </c>
      <c r="B166" s="10">
        <f>VLOOKUP(A166,'MTX CARAC'!$A$4:$W$131,21,0)</f>
        <v>0</v>
      </c>
      <c r="C166" s="10"/>
      <c r="D166" s="1"/>
    </row>
    <row r="167" spans="1:4" hidden="1" x14ac:dyDescent="0.35">
      <c r="A167" t="s">
        <v>140</v>
      </c>
      <c r="B167" s="20">
        <f>VLOOKUP(A167,'MTX CARAC'!$A$4:$W$131,21,0)</f>
        <v>0</v>
      </c>
      <c r="C167" s="20"/>
      <c r="D167" s="1"/>
    </row>
    <row r="168" spans="1:4" hidden="1" x14ac:dyDescent="0.35">
      <c r="A168" t="s">
        <v>134</v>
      </c>
      <c r="B168" s="20">
        <f>VLOOKUP(A168,'MTX CARAC'!$A$4:$W$131,21,0)</f>
        <v>0</v>
      </c>
      <c r="C168" s="20"/>
      <c r="D168" s="1"/>
    </row>
    <row r="169" spans="1:4" hidden="1" x14ac:dyDescent="0.35">
      <c r="A169" t="s">
        <v>135</v>
      </c>
      <c r="B169" s="20">
        <f>VLOOKUP(A169,'MTX CARAC'!$A$4:$W$131,21,0)</f>
        <v>0</v>
      </c>
      <c r="C169" s="20"/>
      <c r="D169" s="1"/>
    </row>
    <row r="170" spans="1:4" hidden="1" x14ac:dyDescent="0.35">
      <c r="A170" t="s">
        <v>136</v>
      </c>
      <c r="B170" s="20">
        <f>VLOOKUP(A170,'MTX CARAC'!$A$4:$W$131,21,0)</f>
        <v>0</v>
      </c>
      <c r="C170" s="20"/>
      <c r="D170" s="1"/>
    </row>
    <row r="171" spans="1:4" hidden="1" x14ac:dyDescent="0.35">
      <c r="A171" t="s">
        <v>137</v>
      </c>
      <c r="B171" s="20">
        <f>VLOOKUP(A171,'MTX CARAC'!$A$4:$W$131,21,0)</f>
        <v>0</v>
      </c>
      <c r="C171" s="20"/>
      <c r="D171" s="1"/>
    </row>
    <row r="172" spans="1:4" hidden="1" x14ac:dyDescent="0.35">
      <c r="A172" t="s">
        <v>138</v>
      </c>
      <c r="B172" s="20">
        <f>VLOOKUP(A172,'MTX CARAC'!$A$4:$W$131,21,0)</f>
        <v>0</v>
      </c>
      <c r="C172" s="20"/>
      <c r="D172" s="1"/>
    </row>
    <row r="173" spans="1:4" hidden="1" x14ac:dyDescent="0.35">
      <c r="A173" t="s">
        <v>95</v>
      </c>
      <c r="B173" s="22">
        <f>VLOOKUP(A173,'MTX CARAC'!$A$4:$W$131,21,0)</f>
        <v>0</v>
      </c>
      <c r="C173" s="22"/>
      <c r="D173" s="1"/>
    </row>
    <row r="174" spans="1:4" hidden="1" x14ac:dyDescent="0.35">
      <c r="A174" t="s">
        <v>96</v>
      </c>
      <c r="B174" s="22">
        <f>VLOOKUP(A174,'MTX CARAC'!$A$4:$W$131,21,0)</f>
        <v>0</v>
      </c>
      <c r="C174" s="22"/>
      <c r="D174" s="1"/>
    </row>
    <row r="175" spans="1:4" hidden="1" x14ac:dyDescent="0.35">
      <c r="A175" t="s">
        <v>99</v>
      </c>
      <c r="B175" s="22">
        <f>VLOOKUP(A175,'MTX CARAC'!$A$4:$W$131,21,0)</f>
        <v>0</v>
      </c>
      <c r="C175" s="22"/>
      <c r="D175" s="1"/>
    </row>
    <row r="176" spans="1:4" hidden="1" x14ac:dyDescent="0.35">
      <c r="A176" t="s">
        <v>100</v>
      </c>
      <c r="B176" s="22">
        <f>VLOOKUP(A176,'MTX CARAC'!$A$4:$W$131,21,0)</f>
        <v>0</v>
      </c>
      <c r="C176" s="22"/>
      <c r="D176" s="1"/>
    </row>
    <row r="177" spans="1:4" hidden="1" x14ac:dyDescent="0.35">
      <c r="A177" t="s">
        <v>101</v>
      </c>
      <c r="B177" s="22">
        <f>VLOOKUP(A177,'MTX CARAC'!$A$4:$W$131,21,0)</f>
        <v>0</v>
      </c>
      <c r="C177" s="22"/>
      <c r="D177" s="1"/>
    </row>
    <row r="178" spans="1:4" hidden="1" x14ac:dyDescent="0.35">
      <c r="A178" t="s">
        <v>97</v>
      </c>
      <c r="B178" s="22">
        <f>VLOOKUP(A178,'MTX CARAC'!$A$4:$W$131,21,0)</f>
        <v>0</v>
      </c>
      <c r="C178" s="22"/>
      <c r="D178" s="1"/>
    </row>
    <row r="179" spans="1:4" hidden="1" x14ac:dyDescent="0.35">
      <c r="A179" t="s">
        <v>98</v>
      </c>
      <c r="B179" s="22">
        <f>VLOOKUP(A179,'MTX CARAC'!$A$4:$W$131,21,0)</f>
        <v>0</v>
      </c>
      <c r="C179" s="22"/>
      <c r="D179" s="1"/>
    </row>
    <row r="180" spans="1:4" hidden="1" x14ac:dyDescent="0.35">
      <c r="A180" t="s">
        <v>103</v>
      </c>
      <c r="B180" s="22">
        <f>VLOOKUP(A180,'MTX CARAC'!$A$4:$W$131,21,0)</f>
        <v>0</v>
      </c>
      <c r="C180" s="22"/>
      <c r="D180" s="1"/>
    </row>
    <row r="181" spans="1:4" hidden="1" x14ac:dyDescent="0.35">
      <c r="A181" t="s">
        <v>104</v>
      </c>
      <c r="B181" s="22">
        <f>VLOOKUP(A181,'MTX CARAC'!$A$4:$W$131,21,0)</f>
        <v>0</v>
      </c>
      <c r="C181" s="22"/>
      <c r="D181" s="1"/>
    </row>
    <row r="182" spans="1:4" hidden="1" x14ac:dyDescent="0.35">
      <c r="A182" t="s">
        <v>105</v>
      </c>
      <c r="B182" s="22">
        <f>VLOOKUP(A182,'MTX CARAC'!$A$4:$W$131,21,0)</f>
        <v>0</v>
      </c>
      <c r="C182" s="22"/>
      <c r="D182" s="1"/>
    </row>
    <row r="183" spans="1:4" hidden="1" x14ac:dyDescent="0.35">
      <c r="A183" t="s">
        <v>102</v>
      </c>
      <c r="B183" s="22">
        <f>VLOOKUP(A183,'MTX CARAC'!$A$4:$W$131,21,0)</f>
        <v>0</v>
      </c>
      <c r="C183" s="22"/>
      <c r="D183" s="1"/>
    </row>
    <row r="184" spans="1:4" hidden="1" x14ac:dyDescent="0.35">
      <c r="A184" t="s">
        <v>15</v>
      </c>
      <c r="B184" s="23">
        <f>VLOOKUP(A184,'MTX CARAC'!$A$4:$W$131,21,0)</f>
        <v>0</v>
      </c>
      <c r="C184" s="23"/>
      <c r="D184" s="1"/>
    </row>
    <row r="185" spans="1:4" hidden="1" x14ac:dyDescent="0.35">
      <c r="A185" t="s">
        <v>141</v>
      </c>
      <c r="B185" s="21">
        <f>VLOOKUP(A185,'MTX CARAC'!$A$4:$W$131,21,0)</f>
        <v>0</v>
      </c>
      <c r="C185" s="21"/>
      <c r="D185" s="1"/>
    </row>
    <row r="186" spans="1:4" hidden="1" x14ac:dyDescent="0.35">
      <c r="A186" t="s">
        <v>132</v>
      </c>
      <c r="B186" s="23">
        <f>VLOOKUP(A186,'MTX CARAC'!$A$4:$W$131,21,0)</f>
        <v>0</v>
      </c>
      <c r="C186" s="23"/>
      <c r="D186" s="1"/>
    </row>
    <row r="187" spans="1:4" hidden="1" x14ac:dyDescent="0.35">
      <c r="A187" t="s">
        <v>143</v>
      </c>
      <c r="B187" s="23">
        <f>VLOOKUP(A187,'MTX CARAC'!$A$4:$W$131,21,0)</f>
        <v>0</v>
      </c>
      <c r="C187" s="23"/>
      <c r="D187" s="1"/>
    </row>
    <row r="188" spans="1:4" hidden="1" x14ac:dyDescent="0.35">
      <c r="A188" t="s">
        <v>144</v>
      </c>
      <c r="B188" s="21">
        <f>VLOOKUP(A188,'MTX CARAC'!$A$4:$W$131,21,0)</f>
        <v>0</v>
      </c>
      <c r="C188" s="21"/>
      <c r="D188" s="1"/>
    </row>
    <row r="189" spans="1:4" hidden="1" x14ac:dyDescent="0.35">
      <c r="A189" t="s">
        <v>142</v>
      </c>
      <c r="B189" s="21">
        <f>VLOOKUP(A189,'MTX CARAC'!$A$4:$W$131,21,0)</f>
        <v>0</v>
      </c>
      <c r="C189" s="21"/>
      <c r="D189" s="1"/>
    </row>
    <row r="190" spans="1:4" hidden="1" x14ac:dyDescent="0.35">
      <c r="A190" t="s">
        <v>145</v>
      </c>
      <c r="B190" s="21">
        <f>VLOOKUP(A190,'MTX CARAC'!$A$4:$W$131,21,0)</f>
        <v>0</v>
      </c>
      <c r="C190" s="21"/>
      <c r="D190" s="1"/>
    </row>
    <row r="191" spans="1:4" hidden="1" x14ac:dyDescent="0.35">
      <c r="A191" t="s">
        <v>298</v>
      </c>
      <c r="B191" s="23">
        <f>VLOOKUP(A191,'MTX CARAC'!$A$4:$W$131,21,0)</f>
        <v>0</v>
      </c>
      <c r="C191" s="21"/>
      <c r="D191" s="1"/>
    </row>
    <row r="192" spans="1:4" hidden="1" x14ac:dyDescent="0.35">
      <c r="A192" t="s">
        <v>3</v>
      </c>
      <c r="B192" s="23">
        <f>VLOOKUP(A192,'MTX CARAC'!$A$4:$W$131,21,0)</f>
        <v>0</v>
      </c>
      <c r="C192" s="23"/>
      <c r="D192" s="1"/>
    </row>
    <row r="193" spans="1:4" hidden="1" x14ac:dyDescent="0.35">
      <c r="A193" t="s">
        <v>194</v>
      </c>
      <c r="B193" s="23">
        <f>VLOOKUP(A193,'MTX CARAC'!$A$4:$W$131,21,0)</f>
        <v>0</v>
      </c>
      <c r="C193" s="23"/>
      <c r="D193" s="1"/>
    </row>
    <row r="194" spans="1:4" hidden="1" x14ac:dyDescent="0.35">
      <c r="A194" t="s">
        <v>4</v>
      </c>
      <c r="B194" s="23">
        <f>VLOOKUP(A194,'MTX CARAC'!$A$4:$W$131,21,0)</f>
        <v>0</v>
      </c>
      <c r="C194" s="23"/>
      <c r="D194" s="1"/>
    </row>
    <row r="195" spans="1:4" hidden="1" x14ac:dyDescent="0.35">
      <c r="A195" t="s">
        <v>153</v>
      </c>
      <c r="B195" s="21">
        <f>VLOOKUP(A195,'MTX CARAC'!$A$4:$W$131,21,0)</f>
        <v>0</v>
      </c>
      <c r="C195" s="21"/>
      <c r="D195" s="1"/>
    </row>
    <row r="196" spans="1:4" hidden="1" x14ac:dyDescent="0.35">
      <c r="A196" t="s">
        <v>154</v>
      </c>
      <c r="B196" s="21">
        <f>VLOOKUP(A196,'MTX CARAC'!$A$4:$W$131,21,0)</f>
        <v>0</v>
      </c>
      <c r="C196" s="21"/>
      <c r="D196" s="1"/>
    </row>
    <row r="197" spans="1:4" hidden="1" x14ac:dyDescent="0.35">
      <c r="A197" t="s">
        <v>5</v>
      </c>
      <c r="B197" s="23">
        <f>VLOOKUP(A197,'MTX CARAC'!$A$4:$W$131,21,0)</f>
        <v>0</v>
      </c>
      <c r="C197" s="23"/>
      <c r="D197" s="1"/>
    </row>
    <row r="198" spans="1:4" hidden="1" x14ac:dyDescent="0.35">
      <c r="A198" t="s">
        <v>195</v>
      </c>
      <c r="B198" s="23">
        <f>VLOOKUP(A198,'MTX CARAC'!$A$4:$W$131,21,0)</f>
        <v>0</v>
      </c>
      <c r="C198" s="23"/>
      <c r="D198" s="1"/>
    </row>
    <row r="199" spans="1:4" hidden="1" x14ac:dyDescent="0.35">
      <c r="A199" t="s">
        <v>155</v>
      </c>
      <c r="B199" s="21">
        <f>VLOOKUP(A199,'MTX CARAC'!$A$4:$W$131,21,0)</f>
        <v>0</v>
      </c>
      <c r="C199" s="21"/>
      <c r="D199" s="1"/>
    </row>
    <row r="200" spans="1:4" hidden="1" x14ac:dyDescent="0.35">
      <c r="A200" t="s">
        <v>6</v>
      </c>
      <c r="B200" s="23">
        <f>VLOOKUP(A200,'MTX CARAC'!$A$4:$W$131,21,0)</f>
        <v>0</v>
      </c>
      <c r="C200" s="23"/>
      <c r="D200" s="1"/>
    </row>
    <row r="201" spans="1:4" hidden="1" x14ac:dyDescent="0.35">
      <c r="A201" t="s">
        <v>7</v>
      </c>
      <c r="B201" s="23">
        <f>VLOOKUP(A201,'MTX CARAC'!$A$4:$W$131,21,0)</f>
        <v>0</v>
      </c>
      <c r="C201" s="23"/>
      <c r="D201" s="1"/>
    </row>
    <row r="202" spans="1:4" hidden="1" x14ac:dyDescent="0.35">
      <c r="A202" t="s">
        <v>8</v>
      </c>
      <c r="B202" s="23">
        <f>VLOOKUP(A202,'MTX CARAC'!$A$4:$W$131,21,0)</f>
        <v>0</v>
      </c>
      <c r="C202" s="23"/>
      <c r="D202" s="1"/>
    </row>
    <row r="203" spans="1:4" hidden="1" x14ac:dyDescent="0.35">
      <c r="A203" t="s">
        <v>9</v>
      </c>
      <c r="B203" s="23">
        <f>VLOOKUP(A203,'MTX CARAC'!$A$4:$W$131,21,0)</f>
        <v>0</v>
      </c>
      <c r="C203" s="23"/>
      <c r="D203" s="1"/>
    </row>
    <row r="204" spans="1:4" hidden="1" x14ac:dyDescent="0.35">
      <c r="A204" t="s">
        <v>156</v>
      </c>
      <c r="B204" s="23">
        <f>VLOOKUP(A204,'MTX CARAC'!$A$4:$W$131,21,0)</f>
        <v>0</v>
      </c>
      <c r="C204" s="23"/>
      <c r="D204" s="1"/>
    </row>
    <row r="205" spans="1:4" hidden="1" x14ac:dyDescent="0.35">
      <c r="A205" t="s">
        <v>157</v>
      </c>
      <c r="B205" s="21">
        <f>VLOOKUP(A205,'MTX CARAC'!$A$4:$W$131,21,0)</f>
        <v>0</v>
      </c>
      <c r="C205" s="21"/>
      <c r="D205" s="1"/>
    </row>
    <row r="206" spans="1:4" hidden="1" x14ac:dyDescent="0.35">
      <c r="A206" t="s">
        <v>10</v>
      </c>
      <c r="B206" s="23">
        <f>VLOOKUP(A206,'MTX CARAC'!$A$4:$W$131,21,0)</f>
        <v>0</v>
      </c>
      <c r="C206" s="23"/>
      <c r="D206" s="1"/>
    </row>
    <row r="207" spans="1:4" hidden="1" x14ac:dyDescent="0.35">
      <c r="A207" t="s">
        <v>11</v>
      </c>
      <c r="B207" s="23">
        <f>VLOOKUP(A207,'MTX CARAC'!$A$4:$W$131,21,0)</f>
        <v>0</v>
      </c>
      <c r="C207" s="23"/>
      <c r="D207" s="1"/>
    </row>
    <row r="208" spans="1:4" hidden="1" x14ac:dyDescent="0.35">
      <c r="A208" t="s">
        <v>158</v>
      </c>
      <c r="B208" s="21">
        <f>VLOOKUP(A208,'MTX CARAC'!$A$4:$W$131,21,0)</f>
        <v>0</v>
      </c>
      <c r="C208" s="21"/>
      <c r="D208" s="1"/>
    </row>
    <row r="209" spans="1:4" hidden="1" x14ac:dyDescent="0.35">
      <c r="A209" t="s">
        <v>12</v>
      </c>
      <c r="B209" s="23">
        <f>VLOOKUP(A209,'MTX CARAC'!$A$4:$W$131,21,0)</f>
        <v>0</v>
      </c>
      <c r="C209" s="23"/>
      <c r="D209" s="1"/>
    </row>
    <row r="210" spans="1:4" hidden="1" x14ac:dyDescent="0.35">
      <c r="A210" t="s">
        <v>13</v>
      </c>
      <c r="B210" s="23">
        <f>VLOOKUP(A210,'MTX CARAC'!$A$4:$W$131,21,0)</f>
        <v>0</v>
      </c>
      <c r="C210" s="23"/>
      <c r="D210" s="1"/>
    </row>
    <row r="211" spans="1:4" hidden="1" x14ac:dyDescent="0.35">
      <c r="A211" t="s">
        <v>161</v>
      </c>
      <c r="B211" s="21">
        <f>VLOOKUP(A211,'MTX CARAC'!$A$4:$W$131,21,0)</f>
        <v>0</v>
      </c>
      <c r="C211" s="21"/>
      <c r="D211" s="1"/>
    </row>
    <row r="212" spans="1:4" hidden="1" x14ac:dyDescent="0.35">
      <c r="A212" t="s">
        <v>160</v>
      </c>
      <c r="B212" s="21">
        <f>VLOOKUP(A212,'MTX CARAC'!$A$4:$W$131,21,0)</f>
        <v>0</v>
      </c>
      <c r="C212" s="21"/>
      <c r="D212" s="1"/>
    </row>
    <row r="213" spans="1:4" hidden="1" x14ac:dyDescent="0.35">
      <c r="A213" t="s">
        <v>14</v>
      </c>
      <c r="B213" s="23">
        <f>VLOOKUP(A213,'MTX CARAC'!$A$4:$W$131,21,0)</f>
        <v>0</v>
      </c>
      <c r="C213" s="23"/>
      <c r="D213" s="1"/>
    </row>
    <row r="214" spans="1:4" hidden="1" x14ac:dyDescent="0.35">
      <c r="A214" t="s">
        <v>159</v>
      </c>
      <c r="B214" s="21">
        <f>VLOOKUP(A214,'MTX CARAC'!$A$4:$W$131,21,0)</f>
        <v>0</v>
      </c>
      <c r="C214" s="21"/>
      <c r="D214" s="1"/>
    </row>
    <row r="215" spans="1:4" hidden="1" x14ac:dyDescent="0.35">
      <c r="A215" t="s">
        <v>214</v>
      </c>
      <c r="B215" s="21">
        <f>VLOOKUP(A215,'MTX CARAC'!$A$4:$W$131,21,0)</f>
        <v>0</v>
      </c>
      <c r="C215" s="21"/>
      <c r="D215" s="1"/>
    </row>
    <row r="216" spans="1:4" hidden="1" x14ac:dyDescent="0.35">
      <c r="A216" t="s">
        <v>215</v>
      </c>
      <c r="B216" s="21">
        <f>VLOOKUP(A216,'MTX CARAC'!$A$4:$W$131,21,0)</f>
        <v>0</v>
      </c>
      <c r="C216" s="21"/>
      <c r="D216" s="1"/>
    </row>
    <row r="217" spans="1:4" hidden="1" x14ac:dyDescent="0.35">
      <c r="A217" t="s">
        <v>216</v>
      </c>
      <c r="B217" s="21">
        <f>VLOOKUP(A217,'MTX CARAC'!$A$4:$W$131,21,0)</f>
        <v>0</v>
      </c>
      <c r="C217" s="21"/>
      <c r="D217" s="1"/>
    </row>
    <row r="218" spans="1:4" hidden="1" x14ac:dyDescent="0.35">
      <c r="A218" t="s">
        <v>217</v>
      </c>
      <c r="B218" s="21">
        <f>VLOOKUP(A218,'MTX CARAC'!$A$4:$W$131,21,0)</f>
        <v>0</v>
      </c>
      <c r="C218" s="21"/>
      <c r="D218" s="1"/>
    </row>
    <row r="219" spans="1:4" hidden="1" x14ac:dyDescent="0.35">
      <c r="A219" t="s">
        <v>218</v>
      </c>
      <c r="B219" s="21">
        <f>VLOOKUP(A219,'MTX CARAC'!$A$4:$W$131,21,0)</f>
        <v>0</v>
      </c>
      <c r="C219" s="21"/>
      <c r="D219" s="1"/>
    </row>
    <row r="220" spans="1:4" hidden="1" x14ac:dyDescent="0.35">
      <c r="A220" t="s">
        <v>219</v>
      </c>
      <c r="B220" s="21">
        <f>VLOOKUP(A220,'MTX CARAC'!$A$4:$W$131,21,0)</f>
        <v>0</v>
      </c>
      <c r="C220" s="21"/>
      <c r="D220" s="1"/>
    </row>
    <row r="221" spans="1:4" hidden="1" x14ac:dyDescent="0.35">
      <c r="A221" t="s">
        <v>220</v>
      </c>
      <c r="B221" s="21">
        <f>VLOOKUP(A221,'MTX CARAC'!$A$4:$W$131,21,0)</f>
        <v>0</v>
      </c>
      <c r="C221" s="21"/>
      <c r="D221" s="1"/>
    </row>
    <row r="222" spans="1:4" hidden="1" x14ac:dyDescent="0.35">
      <c r="A222" t="s">
        <v>162</v>
      </c>
      <c r="B222" s="21">
        <f>VLOOKUP(A222,'MTX CARAC'!$A$4:$W$131,21,0)</f>
        <v>0</v>
      </c>
      <c r="C222" s="21"/>
      <c r="D222" s="1"/>
    </row>
    <row r="223" spans="1:4" hidden="1" x14ac:dyDescent="0.35">
      <c r="A223" t="s">
        <v>128</v>
      </c>
      <c r="B223" s="23">
        <f>VLOOKUP(A223,'MTX CARAC'!$A$4:$W$131,21,0)</f>
        <v>0</v>
      </c>
      <c r="C223" s="23"/>
      <c r="D223" s="1"/>
    </row>
    <row r="224" spans="1:4" hidden="1" x14ac:dyDescent="0.35">
      <c r="A224" t="s">
        <v>130</v>
      </c>
      <c r="B224" s="23">
        <f>VLOOKUP(A224,'MTX CARAC'!$A$4:$W$131,21,0)</f>
        <v>0</v>
      </c>
      <c r="C224" s="23"/>
      <c r="D224" s="1"/>
    </row>
    <row r="225" spans="1:4" hidden="1" x14ac:dyDescent="0.35">
      <c r="A225" t="s">
        <v>131</v>
      </c>
      <c r="B225" s="23">
        <f>VLOOKUP(A225,'MTX CARAC'!$A$4:$W$131,21,0)</f>
        <v>0</v>
      </c>
      <c r="C225" s="23"/>
      <c r="D225" s="1"/>
    </row>
    <row r="226" spans="1:4" hidden="1" x14ac:dyDescent="0.35">
      <c r="A226" t="s">
        <v>129</v>
      </c>
      <c r="B226" s="23">
        <f>VLOOKUP(A226,'MTX CARAC'!$A$4:$W$131,21,0)</f>
        <v>0</v>
      </c>
      <c r="C226" s="23"/>
      <c r="D226" s="1"/>
    </row>
    <row r="227" spans="1:4" hidden="1" x14ac:dyDescent="0.35">
      <c r="A227" t="s">
        <v>146</v>
      </c>
      <c r="B227" s="21">
        <f>VLOOKUP(A227,'MTX CARAC'!$A$4:$W$131,21,0)</f>
        <v>0</v>
      </c>
      <c r="C227" s="23"/>
      <c r="D227" s="1"/>
    </row>
    <row r="228" spans="1:4" hidden="1" x14ac:dyDescent="0.35">
      <c r="A228" t="s">
        <v>147</v>
      </c>
      <c r="B228" s="21">
        <f>VLOOKUP(A228,'MTX CARAC'!$A$4:$W$131,21,0)</f>
        <v>0</v>
      </c>
      <c r="C228" s="21"/>
      <c r="D228" s="1"/>
    </row>
    <row r="229" spans="1:4" hidden="1" x14ac:dyDescent="0.35">
      <c r="A229" t="s">
        <v>148</v>
      </c>
      <c r="B229" s="21">
        <f>VLOOKUP(A229,'MTX CARAC'!$A$4:$W$131,21,0)</f>
        <v>0</v>
      </c>
      <c r="C229" s="21"/>
      <c r="D229" s="1"/>
    </row>
    <row r="230" spans="1:4" hidden="1" x14ac:dyDescent="0.35">
      <c r="A230" t="s">
        <v>149</v>
      </c>
      <c r="B230" s="21">
        <f>VLOOKUP(A230,'MTX CARAC'!$A$4:$W$131,21,0)</f>
        <v>0</v>
      </c>
      <c r="C230" s="21"/>
      <c r="D230" s="1"/>
    </row>
    <row r="231" spans="1:4" hidden="1" x14ac:dyDescent="0.35">
      <c r="B231" s="23"/>
      <c r="C231" s="23"/>
      <c r="D231" s="1"/>
    </row>
    <row r="232" spans="1:4" hidden="1" x14ac:dyDescent="0.35">
      <c r="A232" t="s">
        <v>77</v>
      </c>
      <c r="B232" s="23"/>
      <c r="C232" s="23"/>
      <c r="D232" s="1"/>
    </row>
    <row r="233" spans="1:4" hidden="1" x14ac:dyDescent="0.35">
      <c r="A233" t="s">
        <v>76</v>
      </c>
      <c r="B233" s="23"/>
      <c r="C233" s="23"/>
      <c r="D233" s="1"/>
    </row>
    <row r="234" spans="1:4" hidden="1" x14ac:dyDescent="0.35">
      <c r="A234" t="s">
        <v>175</v>
      </c>
      <c r="B234" s="23"/>
      <c r="C234" s="23"/>
      <c r="D234" s="1"/>
    </row>
    <row r="235" spans="1:4" hidden="1" x14ac:dyDescent="0.35">
      <c r="A235" t="s">
        <v>174</v>
      </c>
      <c r="B235" s="23"/>
      <c r="C235" s="23"/>
      <c r="D235" s="1"/>
    </row>
    <row r="236" spans="1:4" hidden="1" x14ac:dyDescent="0.35">
      <c r="A236" t="s">
        <v>176</v>
      </c>
      <c r="B236" s="23"/>
      <c r="C236" s="23"/>
      <c r="D236" s="1"/>
    </row>
    <row r="237" spans="1:4" hidden="1" x14ac:dyDescent="0.35">
      <c r="A237" t="s">
        <v>16</v>
      </c>
      <c r="B237" s="23"/>
      <c r="C237" s="23"/>
      <c r="D237" s="1"/>
    </row>
    <row r="238" spans="1:4" hidden="1" x14ac:dyDescent="0.35">
      <c r="A238" t="s">
        <v>272</v>
      </c>
      <c r="B238" s="23"/>
      <c r="C238" s="23"/>
      <c r="D238" s="1"/>
    </row>
    <row r="239" spans="1:4" hidden="1" x14ac:dyDescent="0.35">
      <c r="A239" t="s">
        <v>210</v>
      </c>
      <c r="B239" s="23"/>
      <c r="C239" s="23"/>
      <c r="D239" s="1"/>
    </row>
    <row r="240" spans="1:4" hidden="1" x14ac:dyDescent="0.35">
      <c r="A240" t="s">
        <v>271</v>
      </c>
      <c r="B240" s="23"/>
      <c r="C240" s="23"/>
      <c r="D240" s="1"/>
    </row>
    <row r="241" spans="1:4" hidden="1" x14ac:dyDescent="0.35">
      <c r="A241" t="s">
        <v>112</v>
      </c>
      <c r="B241" s="23"/>
      <c r="C241" s="23"/>
      <c r="D241" s="1"/>
    </row>
    <row r="242" spans="1:4" hidden="1" x14ac:dyDescent="0.35">
      <c r="A242" t="s">
        <v>189</v>
      </c>
      <c r="B242" s="23"/>
      <c r="C242" s="23"/>
      <c r="D242" s="1"/>
    </row>
    <row r="243" spans="1:4" hidden="1" x14ac:dyDescent="0.35">
      <c r="A243" t="s">
        <v>188</v>
      </c>
      <c r="B243" s="23"/>
      <c r="C243" s="23"/>
      <c r="D243" s="1"/>
    </row>
    <row r="244" spans="1:4" hidden="1" x14ac:dyDescent="0.35">
      <c r="A244" t="s">
        <v>61</v>
      </c>
      <c r="B244" s="23"/>
      <c r="C244" s="23"/>
      <c r="D244" s="1"/>
    </row>
    <row r="245" spans="1:4" hidden="1" x14ac:dyDescent="0.35">
      <c r="A245" t="s">
        <v>18</v>
      </c>
      <c r="B245" s="23"/>
      <c r="C245" s="23"/>
      <c r="D245" s="1"/>
    </row>
    <row r="246" spans="1:4" hidden="1" x14ac:dyDescent="0.35">
      <c r="B246" s="23"/>
      <c r="C246" s="23"/>
      <c r="D246" s="1"/>
    </row>
    <row r="247" spans="1:4" hidden="1" x14ac:dyDescent="0.35">
      <c r="B247" s="23"/>
      <c r="C247" s="23"/>
      <c r="D247" s="1"/>
    </row>
    <row r="248" spans="1:4" hidden="1" x14ac:dyDescent="0.35">
      <c r="B248" s="23"/>
      <c r="C248" s="23"/>
      <c r="D248" s="1"/>
    </row>
    <row r="249" spans="1:4" hidden="1" x14ac:dyDescent="0.35"/>
    <row r="250" spans="1:4" hidden="1" x14ac:dyDescent="0.35">
      <c r="B250" s="6">
        <f>+B81</f>
        <v>46142</v>
      </c>
    </row>
    <row r="251" spans="1:4" hidden="1" x14ac:dyDescent="0.35">
      <c r="B251" s="11" t="str">
        <f>TEXT(B69,"dd-mmm-aa")</f>
        <v>30-abr-25</v>
      </c>
      <c r="C251" s="40" t="str">
        <f>TEXT(F7,"$#,000")</f>
        <v>$100</v>
      </c>
    </row>
    <row r="252" spans="1:4" hidden="1" x14ac:dyDescent="0.35">
      <c r="B252" s="24" t="str">
        <f>TEXT(B250,"dd-mmm-aa")</f>
        <v>30-abr-26</v>
      </c>
    </row>
    <row r="253" spans="1:4" hidden="1" x14ac:dyDescent="0.35">
      <c r="B253" t="str">
        <f>+"Valor de "&amp;C251&amp;" del "&amp;B251&amp;" al "&amp;B252</f>
        <v>Valor de $100 del 30-abr-25 al 30-abr-26</v>
      </c>
    </row>
    <row r="254" spans="1:4" s="1" customFormat="1" hidden="1" x14ac:dyDescent="0.35"/>
    <row r="255" spans="1:4" s="1" customFormat="1" hidden="1" x14ac:dyDescent="0.35"/>
    <row r="256" spans="1:4" s="1" customFormat="1" hidden="1" x14ac:dyDescent="0.35"/>
    <row r="257" spans="2:6" s="1" customFormat="1" hidden="1" x14ac:dyDescent="0.35">
      <c r="B257" s="83">
        <v>1</v>
      </c>
      <c r="C257" s="83">
        <f>+B257+1</f>
        <v>2</v>
      </c>
      <c r="D257" s="83">
        <f t="shared" ref="D257:F257" si="14">+C257+1</f>
        <v>3</v>
      </c>
      <c r="E257" s="83">
        <f t="shared" si="14"/>
        <v>4</v>
      </c>
      <c r="F257" s="83">
        <f t="shared" si="14"/>
        <v>5</v>
      </c>
    </row>
    <row r="258" spans="2:6" s="1" customFormat="1" hidden="1" x14ac:dyDescent="0.35">
      <c r="B258" s="134" t="str">
        <f>+B8</f>
        <v>MULTIRE BF-1</v>
      </c>
      <c r="C258" s="62" t="s">
        <v>254</v>
      </c>
      <c r="D258" s="62" t="s">
        <v>255</v>
      </c>
      <c r="E258" s="62" t="s">
        <v>256</v>
      </c>
      <c r="F258" s="62" t="s">
        <v>257</v>
      </c>
    </row>
    <row r="259" spans="2:6" s="1" customFormat="1" hidden="1" x14ac:dyDescent="0.35">
      <c r="B259" s="83">
        <f>HLOOKUP(B258,'MTX PRECIOS'!$A$95:$DZ$96,2,0)</f>
        <v>16</v>
      </c>
      <c r="C259" s="97">
        <f t="shared" ref="C259:F260" si="15">+H12</f>
        <v>46112</v>
      </c>
      <c r="D259" s="97">
        <f t="shared" si="15"/>
        <v>46052</v>
      </c>
      <c r="E259" s="97">
        <f t="shared" si="15"/>
        <v>45777</v>
      </c>
      <c r="F259" s="97">
        <f t="shared" si="15"/>
        <v>45044</v>
      </c>
    </row>
    <row r="260" spans="2:6" s="1" customFormat="1" hidden="1" x14ac:dyDescent="0.35">
      <c r="C260" s="97">
        <f t="shared" si="15"/>
        <v>46142</v>
      </c>
      <c r="D260" s="97">
        <f t="shared" si="15"/>
        <v>46142</v>
      </c>
      <c r="E260" s="97">
        <f t="shared" si="15"/>
        <v>46142</v>
      </c>
      <c r="F260" s="97">
        <f t="shared" si="15"/>
        <v>46142</v>
      </c>
    </row>
    <row r="261" spans="2:6" s="1" customFormat="1" hidden="1" x14ac:dyDescent="0.35">
      <c r="B261" s="1" t="s">
        <v>187</v>
      </c>
      <c r="C261" s="106">
        <f>+C260-C259</f>
        <v>30</v>
      </c>
      <c r="D261" s="106">
        <f t="shared" ref="D261:F261" si="16">+D260-D259</f>
        <v>90</v>
      </c>
      <c r="E261" s="106">
        <f t="shared" si="16"/>
        <v>365</v>
      </c>
      <c r="F261" s="106">
        <f t="shared" si="16"/>
        <v>1098</v>
      </c>
    </row>
    <row r="262" spans="2:6" s="1" customFormat="1" hidden="1" x14ac:dyDescent="0.35">
      <c r="B262" s="1" t="s">
        <v>171</v>
      </c>
      <c r="C262" s="107">
        <f>VLOOKUP(C259,$B$69:$C$81,2,0)</f>
        <v>6.8607649999999998</v>
      </c>
      <c r="D262" s="107">
        <f t="shared" ref="D262" si="17">VLOOKUP(D259,$B$69:$C$81,2,0)</f>
        <v>6.8145090000000001</v>
      </c>
      <c r="E262" s="107">
        <f>VLOOKUP(E259,'MTX PRECIOS'!$A$5:$EC$95,B259,0)</f>
        <v>6.5267109999999997</v>
      </c>
      <c r="F262" s="107">
        <f>VLOOKUP(F259,'MTX PRECIOS'!$A$5:$EC$95,B259,0)</f>
        <v>5.4640029999999999</v>
      </c>
    </row>
    <row r="263" spans="2:6" s="1" customFormat="1" hidden="1" x14ac:dyDescent="0.35">
      <c r="C263" s="107">
        <f>VLOOKUP(C260,$B$69:$C$81,2,0)</f>
        <v>6.8893259999999996</v>
      </c>
      <c r="D263" s="107">
        <f t="shared" ref="D263:F263" si="18">VLOOKUP(D260,$B$69:$C$81,2,0)</f>
        <v>6.8893259999999996</v>
      </c>
      <c r="E263" s="107">
        <f t="shared" si="18"/>
        <v>6.8893259999999996</v>
      </c>
      <c r="F263" s="107">
        <f t="shared" si="18"/>
        <v>6.8893259999999996</v>
      </c>
    </row>
    <row r="264" spans="2:6" s="1" customFormat="1" hidden="1" x14ac:dyDescent="0.35">
      <c r="B264" s="1" t="s">
        <v>204</v>
      </c>
      <c r="C264" s="108">
        <f>+C263/C262-1</f>
        <v>4.1629468433912464E-3</v>
      </c>
      <c r="D264" s="108">
        <f t="shared" ref="D264:E264" si="19">+D263/D262-1</f>
        <v>1.0979074207694062E-2</v>
      </c>
      <c r="E264" s="108">
        <f t="shared" si="19"/>
        <v>5.5558611374090239E-2</v>
      </c>
      <c r="F264" s="108">
        <f>IF(F262&gt;0,F263/F262-1," ")</f>
        <v>0.26085692119861559</v>
      </c>
    </row>
    <row r="265" spans="2:6" s="1" customFormat="1" hidden="1" x14ac:dyDescent="0.35">
      <c r="B265" s="1" t="s">
        <v>205</v>
      </c>
      <c r="C265" s="108">
        <f>+(C263/C262-1)*360/C261</f>
        <v>4.9955362120694957E-2</v>
      </c>
      <c r="D265" s="108">
        <f t="shared" ref="D265:E265" si="20">+(D263/D262-1)*360/D261</f>
        <v>4.3916296830776247E-2</v>
      </c>
      <c r="E265" s="108">
        <f t="shared" si="20"/>
        <v>5.4797534505952018E-2</v>
      </c>
      <c r="F265" s="108">
        <f>IF(F262&gt;0,(F263/F262-1)*360/F261," ")</f>
        <v>8.5526859409382164E-2</v>
      </c>
    </row>
    <row r="266" spans="2:6" s="1" customFormat="1" hidden="1" x14ac:dyDescent="0.35">
      <c r="B266" s="1" t="s">
        <v>239</v>
      </c>
      <c r="C266" s="108">
        <f>+((C263/C262)^(360/C261))-1</f>
        <v>5.1115171891407352E-2</v>
      </c>
      <c r="D266" s="108">
        <f t="shared" ref="D266:E266" si="21">+((D263/D262)^(360/D261))-1</f>
        <v>4.4644845456947246E-2</v>
      </c>
      <c r="E266" s="108">
        <f t="shared" si="21"/>
        <v>5.4777062812326971E-2</v>
      </c>
      <c r="F266" s="108">
        <f>IF(F262&gt;0,((F263/F262)^(360/F261))-1," ")</f>
        <v>7.8959597636941492E-2</v>
      </c>
    </row>
    <row r="267" spans="2:6" s="1" customFormat="1" hidden="1" x14ac:dyDescent="0.35"/>
    <row r="268" spans="2:6" s="1" customFormat="1" hidden="1" x14ac:dyDescent="0.35">
      <c r="B268" s="83">
        <v>1</v>
      </c>
      <c r="C268" s="83">
        <f>+B268+1</f>
        <v>2</v>
      </c>
      <c r="D268" s="83">
        <f t="shared" ref="D268:F268" si="22">+C268+1</f>
        <v>3</v>
      </c>
      <c r="E268" s="83">
        <f t="shared" si="22"/>
        <v>4</v>
      </c>
      <c r="F268" s="83">
        <f t="shared" si="22"/>
        <v>5</v>
      </c>
    </row>
    <row r="269" spans="2:6" s="1" customFormat="1" hidden="1" x14ac:dyDescent="0.35">
      <c r="B269" s="135" t="str">
        <f>+C8</f>
        <v>PRLV de Ventanilla a 28 días. Tasa Neta</v>
      </c>
      <c r="C269" s="62" t="s">
        <v>254</v>
      </c>
      <c r="D269" s="62" t="s">
        <v>255</v>
      </c>
      <c r="E269" s="62" t="s">
        <v>256</v>
      </c>
      <c r="F269" s="62" t="s">
        <v>257</v>
      </c>
    </row>
    <row r="270" spans="2:6" s="1" customFormat="1" hidden="1" x14ac:dyDescent="0.35">
      <c r="B270" s="83">
        <f>HLOOKUP(B269,'MTX PRECIOS'!$A$95:$DZ$96,2,0)</f>
        <v>117</v>
      </c>
      <c r="C270" s="97">
        <f>+C259</f>
        <v>46112</v>
      </c>
      <c r="D270" s="97">
        <f t="shared" ref="D270:F271" si="23">+D259</f>
        <v>46052</v>
      </c>
      <c r="E270" s="97">
        <f t="shared" si="23"/>
        <v>45777</v>
      </c>
      <c r="F270" s="97">
        <f t="shared" si="23"/>
        <v>45044</v>
      </c>
    </row>
    <row r="271" spans="2:6" s="1" customFormat="1" hidden="1" x14ac:dyDescent="0.35">
      <c r="C271" s="97">
        <f>+C260</f>
        <v>46142</v>
      </c>
      <c r="D271" s="97">
        <f t="shared" si="23"/>
        <v>46142</v>
      </c>
      <c r="E271" s="97">
        <f t="shared" si="23"/>
        <v>46142</v>
      </c>
      <c r="F271" s="97">
        <f t="shared" si="23"/>
        <v>46142</v>
      </c>
    </row>
    <row r="272" spans="2:6" s="1" customFormat="1" hidden="1" x14ac:dyDescent="0.35">
      <c r="B272" s="1" t="s">
        <v>187</v>
      </c>
      <c r="C272" s="106">
        <f>+C271-C270</f>
        <v>30</v>
      </c>
      <c r="D272" s="106">
        <f t="shared" ref="D272:F272" si="24">+D271-D270</f>
        <v>90</v>
      </c>
      <c r="E272" s="106">
        <f t="shared" si="24"/>
        <v>365</v>
      </c>
      <c r="F272" s="106">
        <f t="shared" si="24"/>
        <v>1098</v>
      </c>
    </row>
    <row r="273" spans="2:6" s="1" customFormat="1" hidden="1" x14ac:dyDescent="0.35">
      <c r="B273" s="1" t="s">
        <v>171</v>
      </c>
      <c r="C273" s="107">
        <f>VLOOKUP(C270,$B$69:$D$81,3,0)</f>
        <v>127.01960388613024</v>
      </c>
      <c r="D273" s="107">
        <f t="shared" ref="D273" si="25">VLOOKUP(D270,$B$69:$D$81,3,0)</f>
        <v>126.64207083353263</v>
      </c>
      <c r="E273" s="107">
        <f>VLOOKUP(E270,'MTX PRECIOS'!$A$5:$EC$95,$B270,0)</f>
        <v>124.7470089197863</v>
      </c>
      <c r="F273" s="107">
        <f>VLOOKUP(F270,'MTX PRECIOS'!$A$5:$EC$95,$B270,0)</f>
        <v>117.95576985249967</v>
      </c>
    </row>
    <row r="274" spans="2:6" s="1" customFormat="1" hidden="1" x14ac:dyDescent="0.35">
      <c r="C274" s="107">
        <f>VLOOKUP(C271,$B$69:$D$81,3,0)</f>
        <v>127.20484080846418</v>
      </c>
      <c r="D274" s="107">
        <f t="shared" ref="D274:F274" si="26">VLOOKUP(D271,$B$69:$D$81,3,0)</f>
        <v>127.20484080846418</v>
      </c>
      <c r="E274" s="107">
        <f t="shared" si="26"/>
        <v>127.20484080846418</v>
      </c>
      <c r="F274" s="107">
        <f t="shared" si="26"/>
        <v>127.20484080846418</v>
      </c>
    </row>
    <row r="275" spans="2:6" s="1" customFormat="1" hidden="1" x14ac:dyDescent="0.35">
      <c r="B275" s="1" t="s">
        <v>204</v>
      </c>
      <c r="C275" s="108">
        <f>+C274/C273-1</f>
        <v>1.4583333333333393E-3</v>
      </c>
      <c r="D275" s="108">
        <f t="shared" ref="D275:E275" si="27">+D274/D273-1</f>
        <v>4.4437837381172685E-3</v>
      </c>
      <c r="E275" s="108">
        <f t="shared" si="27"/>
        <v>1.9702531627498132E-2</v>
      </c>
      <c r="F275" s="108">
        <f>IF(F273&gt;0,(F274/F273-1)," ")</f>
        <v>7.8411348317511065E-2</v>
      </c>
    </row>
    <row r="276" spans="2:6" s="1" customFormat="1" hidden="1" x14ac:dyDescent="0.35">
      <c r="B276" s="1" t="s">
        <v>205</v>
      </c>
      <c r="C276" s="108">
        <f>+(C274/C273-1)*360/C272</f>
        <v>1.7500000000000071E-2</v>
      </c>
      <c r="D276" s="108">
        <f t="shared" ref="D276:E276" si="28">+(D274/D273-1)*360/D272</f>
        <v>1.7775134952469074E-2</v>
      </c>
      <c r="E276" s="108">
        <f t="shared" si="28"/>
        <v>1.943263393397076E-2</v>
      </c>
      <c r="F276" s="108">
        <f>IF(F273&gt;0,(F274/F273-1)*360/F272," ")</f>
        <v>2.5708638792626578E-2</v>
      </c>
    </row>
    <row r="277" spans="2:6" s="1" customFormat="1" hidden="1" x14ac:dyDescent="0.35">
      <c r="B277" s="1" t="s">
        <v>239</v>
      </c>
      <c r="C277" s="108">
        <f>+((C274/C273)^(360/C272))-1</f>
        <v>1.7641049155291189E-2</v>
      </c>
      <c r="D277" s="108">
        <f t="shared" ref="D277:E277" si="29">+((D274/D273)^(360/D272))-1</f>
        <v>1.7893969635280671E-2</v>
      </c>
      <c r="E277" s="108">
        <f t="shared" si="29"/>
        <v>1.9430028809936717E-2</v>
      </c>
      <c r="F277" s="108">
        <f>IF(F273&gt;0,((F274/F273)^(360/F272))-1," ")</f>
        <v>2.5059322671245221E-2</v>
      </c>
    </row>
    <row r="278" spans="2:6" s="1" customFormat="1" hidden="1" x14ac:dyDescent="0.35"/>
    <row r="279" spans="2:6" s="1" customFormat="1" x14ac:dyDescent="0.35"/>
    <row r="280" spans="2:6" s="1" customFormat="1" x14ac:dyDescent="0.35"/>
    <row r="281" spans="2:6" s="1" customFormat="1" x14ac:dyDescent="0.35"/>
    <row r="282" spans="2:6" s="1" customFormat="1" x14ac:dyDescent="0.35"/>
    <row r="283" spans="2:6" s="1" customFormat="1" x14ac:dyDescent="0.35"/>
    <row r="284" spans="2:6" s="1" customFormat="1" x14ac:dyDescent="0.35"/>
    <row r="285" spans="2:6" s="1" customFormat="1" x14ac:dyDescent="0.35"/>
    <row r="286" spans="2:6" s="1" customFormat="1" x14ac:dyDescent="0.35"/>
    <row r="287" spans="2:6" s="1" customFormat="1" x14ac:dyDescent="0.35"/>
    <row r="288" spans="2:6" s="1" customFormat="1" x14ac:dyDescent="0.35"/>
    <row r="289" s="1" customFormat="1" x14ac:dyDescent="0.35"/>
    <row r="290" s="1" customFormat="1" x14ac:dyDescent="0.35"/>
    <row r="291" s="1" customFormat="1" x14ac:dyDescent="0.35"/>
    <row r="292" s="1" customFormat="1" x14ac:dyDescent="0.35"/>
    <row r="293" s="1" customFormat="1" x14ac:dyDescent="0.35"/>
    <row r="294" s="1" customFormat="1" x14ac:dyDescent="0.35"/>
    <row r="295" s="1" customFormat="1" x14ac:dyDescent="0.35"/>
    <row r="296" s="1" customFormat="1" x14ac:dyDescent="0.35"/>
    <row r="297" s="1" customFormat="1" x14ac:dyDescent="0.35"/>
    <row r="298" s="1" customFormat="1" x14ac:dyDescent="0.35"/>
    <row r="299" s="1" customFormat="1" x14ac:dyDescent="0.35"/>
    <row r="300" s="1" customFormat="1" x14ac:dyDescent="0.35"/>
    <row r="301" s="1" customFormat="1" x14ac:dyDescent="0.35"/>
    <row r="302" s="1" customFormat="1" x14ac:dyDescent="0.35"/>
    <row r="303" s="1" customFormat="1" x14ac:dyDescent="0.35"/>
    <row r="304" s="1" customFormat="1" x14ac:dyDescent="0.35"/>
    <row r="305" s="1" customFormat="1" x14ac:dyDescent="0.35"/>
    <row r="306" s="1" customFormat="1" x14ac:dyDescent="0.35"/>
    <row r="307" s="1" customFormat="1" x14ac:dyDescent="0.35"/>
    <row r="308" s="1" customFormat="1" x14ac:dyDescent="0.35"/>
    <row r="309" s="1" customFormat="1" x14ac:dyDescent="0.35"/>
    <row r="310" s="1" customFormat="1" x14ac:dyDescent="0.35"/>
    <row r="311" s="1" customFormat="1" x14ac:dyDescent="0.35"/>
    <row r="312" s="1" customFormat="1" x14ac:dyDescent="0.35"/>
    <row r="313" s="1" customFormat="1" x14ac:dyDescent="0.35"/>
    <row r="314" s="1" customFormat="1" x14ac:dyDescent="0.35"/>
    <row r="315" s="1" customFormat="1" x14ac:dyDescent="0.35"/>
    <row r="316" s="1" customFormat="1" x14ac:dyDescent="0.35"/>
    <row r="317" s="1" customFormat="1" x14ac:dyDescent="0.35"/>
    <row r="318" s="1" customFormat="1" x14ac:dyDescent="0.35"/>
    <row r="319" s="1" customFormat="1" x14ac:dyDescent="0.35"/>
    <row r="320" s="1" customFormat="1" x14ac:dyDescent="0.35"/>
    <row r="321" s="1" customFormat="1" x14ac:dyDescent="0.35"/>
    <row r="322" s="1" customFormat="1" x14ac:dyDescent="0.35"/>
    <row r="323" s="1" customFormat="1" x14ac:dyDescent="0.35"/>
  </sheetData>
  <sheetProtection algorithmName="SHA-512" hashValue="EnLxVS7MOVCHXZiCCubSYbYrBV4zVZymde9gBuy/Dp70u/9VaS3Urr5CvI/WP+xu34WX5yhsopyeeS6SDUuxiw==" saltValue="SHeVp1n2p7HawcZzmTL1mw==" spinCount="100000" sheet="1" objects="1" scenarios="1" selectLockedCells="1"/>
  <sortState xmlns:xlrd2="http://schemas.microsoft.com/office/spreadsheetml/2017/richdata2" ref="A139:C230">
    <sortCondition ref="A139:A230"/>
  </sortState>
  <mergeCells count="11">
    <mergeCell ref="L67:M67"/>
    <mergeCell ref="I67:K67"/>
    <mergeCell ref="C67:D67"/>
    <mergeCell ref="E67:F67"/>
    <mergeCell ref="G67:H67"/>
    <mergeCell ref="A21:M21"/>
    <mergeCell ref="A7:A8"/>
    <mergeCell ref="E11:F11"/>
    <mergeCell ref="E12:F13"/>
    <mergeCell ref="E14:F14"/>
    <mergeCell ref="E15:F15"/>
  </mergeCells>
  <dataValidations count="1">
    <dataValidation type="list" allowBlank="1" showInputMessage="1" showErrorMessage="1" sqref="B8:C8" xr:uid="{A23F0389-79B2-45FE-B145-5D87523B718D}">
      <formula1>$A$139:$A$245</formula1>
    </dataValidation>
  </dataValidations>
  <printOptions horizontalCentered="1"/>
  <pageMargins left="0.70866141732283472" right="0.70866141732283472" top="0.74803149606299213" bottom="0.74803149606299213" header="0.31496062992125984" footer="0.31496062992125984"/>
  <pageSetup scale="45" orientation="landscape" r:id="rId1"/>
  <headerFooter>
    <oddFooter>&amp;R&amp;P de &amp;N</oddFooter>
  </headerFooter>
  <rowBreaks count="1" manualBreakCount="1">
    <brk id="63"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2"/>
  <sheetViews>
    <sheetView topLeftCell="A2" workbookViewId="0">
      <selection activeCell="H39" sqref="H39"/>
    </sheetView>
  </sheetViews>
  <sheetFormatPr baseColWidth="10" defaultColWidth="11.453125" defaultRowHeight="14.5" x14ac:dyDescent="0.35"/>
  <cols>
    <col min="1" max="16384" width="11.453125" style="1"/>
  </cols>
  <sheetData>
    <row r="12" ht="35.25" customHeight="1" x14ac:dyDescent="0.35"/>
  </sheetData>
  <sheetProtection algorithmName="SHA-512" hashValue="DLbsHvkJ+IuTY1mU0QD6e+cshlDEQzcdyG5syOuMF0zTUc7bXGlcBE00KdWedtqibYwSRp7rIeZ8WKq9U84B7w==" saltValue="xKZP1mxRkpt246B4b4MX7w==" spinCount="100000" sheet="1" objects="1" scenarios="1" selectLockedCells="1" selectUnlockedCells="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65"/>
  <sheetViews>
    <sheetView workbookViewId="0">
      <selection activeCell="G20" sqref="G20"/>
    </sheetView>
  </sheetViews>
  <sheetFormatPr baseColWidth="10" defaultColWidth="11.453125" defaultRowHeight="14.5" x14ac:dyDescent="0.35"/>
  <cols>
    <col min="1" max="16384" width="11.453125" style="1"/>
  </cols>
  <sheetData>
    <row r="2" spans="1:1" ht="23.5" x14ac:dyDescent="0.55000000000000004">
      <c r="A2" s="16" t="s">
        <v>83</v>
      </c>
    </row>
    <row r="3" spans="1:1" ht="23.5" x14ac:dyDescent="0.55000000000000004">
      <c r="A3" s="16"/>
    </row>
    <row r="4" spans="1:1" ht="23.5" x14ac:dyDescent="0.55000000000000004">
      <c r="A4" s="16"/>
    </row>
    <row r="5" spans="1:1" ht="18.5" x14ac:dyDescent="0.45">
      <c r="A5" s="28" t="s">
        <v>276</v>
      </c>
    </row>
    <row r="15" spans="1:1" ht="18.5" x14ac:dyDescent="0.45">
      <c r="A15" s="28" t="s">
        <v>277</v>
      </c>
    </row>
    <row r="65" spans="2:2" x14ac:dyDescent="0.35">
      <c r="B65" s="1" t="s">
        <v>82</v>
      </c>
    </row>
  </sheetData>
  <sheetProtection algorithmName="SHA-512" hashValue="+1YSrdyza3oCO731/n0ez7WNvdNlB67dpMNanvwaGjowy4yQy4KTdntxQ37fHe9E+1bcQqOiNpKYEQYyemrA7g==" saltValue="ne9JPOPqMqPuP9u4VczOlg==" spinCount="100000" sheet="1" objects="1" scenarios="1" selectLockedCells="1" selectUnlockedCells="1"/>
  <pageMargins left="0.70866141732283472" right="0.70866141732283472" top="0.74803149606299213" bottom="0.74803149606299213" header="0.31496062992125984" footer="0.31496062992125984"/>
  <pageSetup scale="7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B58BF-66FD-4AF1-8EE5-AD0B73A1ECFC}">
  <sheetPr>
    <pageSetUpPr fitToPage="1"/>
  </sheetPr>
  <dimension ref="A1:AY163"/>
  <sheetViews>
    <sheetView workbookViewId="0">
      <selection activeCell="B11" sqref="B11"/>
    </sheetView>
  </sheetViews>
  <sheetFormatPr baseColWidth="10" defaultRowHeight="14.5" x14ac:dyDescent="0.35"/>
  <cols>
    <col min="1" max="1" width="16.1796875" customWidth="1"/>
    <col min="2" max="2" width="14.81640625" customWidth="1"/>
    <col min="3" max="4" width="15.54296875" bestFit="1" customWidth="1"/>
    <col min="5" max="5" width="14" customWidth="1"/>
    <col min="6" max="6" width="14.81640625" customWidth="1"/>
    <col min="7" max="7" width="13" customWidth="1"/>
    <col min="10" max="14" width="11.453125" style="1"/>
    <col min="15" max="15" width="14.54296875" style="1" bestFit="1" customWidth="1"/>
    <col min="16" max="51" width="11.453125" style="1"/>
  </cols>
  <sheetData>
    <row r="1" spans="1:9" x14ac:dyDescent="0.35">
      <c r="A1" s="1"/>
      <c r="B1" s="1"/>
      <c r="C1" s="1"/>
      <c r="D1" s="1"/>
      <c r="E1" s="1"/>
      <c r="F1" s="1"/>
      <c r="G1" s="1"/>
      <c r="H1" s="1"/>
      <c r="I1" s="1"/>
    </row>
    <row r="2" spans="1:9" x14ac:dyDescent="0.35">
      <c r="A2" s="1"/>
      <c r="B2" s="1"/>
      <c r="C2" s="1"/>
      <c r="D2" s="1"/>
      <c r="E2" s="1"/>
      <c r="F2" s="1"/>
      <c r="H2" s="1"/>
    </row>
    <row r="3" spans="1:9" ht="15.5" x14ac:dyDescent="0.35">
      <c r="A3" s="1"/>
      <c r="B3" s="1"/>
      <c r="C3" s="1"/>
      <c r="D3" s="1"/>
      <c r="E3" s="1"/>
      <c r="F3" s="1"/>
      <c r="G3" s="3" t="s">
        <v>286</v>
      </c>
      <c r="H3" s="1"/>
      <c r="I3" s="1"/>
    </row>
    <row r="4" spans="1:9" x14ac:dyDescent="0.35">
      <c r="A4" s="1"/>
      <c r="B4" s="1"/>
      <c r="C4" s="1"/>
      <c r="D4" s="1"/>
      <c r="E4" s="1"/>
      <c r="F4" s="1"/>
      <c r="G4" s="1"/>
      <c r="H4" s="1"/>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46">
        <f>HLOOKUP(B$9,'MTX PRECIOS'!$B$95:$EA$96,2,0)</f>
        <v>70</v>
      </c>
      <c r="C7" s="1"/>
      <c r="D7" s="1"/>
      <c r="E7" s="1"/>
      <c r="F7" s="1"/>
      <c r="G7" s="1"/>
      <c r="H7" s="1"/>
      <c r="I7" s="1"/>
    </row>
    <row r="8" spans="1:9" x14ac:dyDescent="0.35">
      <c r="A8" s="1"/>
      <c r="B8" s="1"/>
      <c r="C8" s="1"/>
      <c r="D8" s="367" t="s">
        <v>282</v>
      </c>
      <c r="E8" s="367"/>
      <c r="F8" s="1"/>
      <c r="G8" s="1"/>
      <c r="H8" s="1"/>
      <c r="I8" s="1"/>
    </row>
    <row r="9" spans="1:9" x14ac:dyDescent="0.35">
      <c r="A9" s="79" t="s">
        <v>25</v>
      </c>
      <c r="B9" s="151" t="s">
        <v>118</v>
      </c>
      <c r="C9" s="81" t="s">
        <v>202</v>
      </c>
      <c r="D9" s="143" t="s">
        <v>284</v>
      </c>
      <c r="E9" s="80" t="s">
        <v>267</v>
      </c>
      <c r="F9" s="1"/>
      <c r="G9" s="1"/>
      <c r="H9" s="1"/>
      <c r="I9" s="1"/>
    </row>
    <row r="10" spans="1:9" ht="22" customHeight="1" x14ac:dyDescent="0.35">
      <c r="A10" s="79" t="s">
        <v>199</v>
      </c>
      <c r="B10" s="152">
        <v>45044</v>
      </c>
      <c r="C10" s="82">
        <f>VLOOKUP($B10,'MTX PRECIOS'!$A$5:$EC$94,$B$7,0)</f>
        <v>3.2946469999999999</v>
      </c>
      <c r="D10" s="368">
        <f>+C11/C10-1</f>
        <v>0.49341462074692677</v>
      </c>
      <c r="E10" s="368">
        <f>+((1+D10)/(1+D27))-1</f>
        <v>0.53781833216476604</v>
      </c>
      <c r="F10" s="1"/>
      <c r="G10" s="1"/>
      <c r="H10" s="1"/>
      <c r="I10" s="1"/>
    </row>
    <row r="11" spans="1:9" ht="22" customHeight="1" x14ac:dyDescent="0.35">
      <c r="A11" s="79" t="s">
        <v>200</v>
      </c>
      <c r="B11" s="152">
        <v>46142</v>
      </c>
      <c r="C11" s="82">
        <f>VLOOKUP($B11,'MTX PRECIOS'!$A$5:$EC$94,$B$7,0)</f>
        <v>4.920274</v>
      </c>
      <c r="D11" s="368"/>
      <c r="E11" s="368"/>
      <c r="F11" s="1"/>
      <c r="G11" s="1"/>
      <c r="H11" s="1"/>
      <c r="I11" s="1"/>
    </row>
    <row r="12" spans="1:9" ht="22" customHeight="1" x14ac:dyDescent="0.35">
      <c r="A12" s="78" t="s">
        <v>203</v>
      </c>
      <c r="B12" s="52">
        <f>+B11-B10</f>
        <v>1098</v>
      </c>
      <c r="C12" s="1"/>
      <c r="D12" s="1"/>
      <c r="E12" s="1"/>
      <c r="F12" s="1"/>
      <c r="G12" s="1"/>
      <c r="H12" s="1"/>
      <c r="I12" s="1"/>
    </row>
    <row r="13" spans="1:9" ht="15" customHeight="1" x14ac:dyDescent="0.35">
      <c r="A13" s="29"/>
      <c r="B13" s="89"/>
      <c r="C13" s="1"/>
      <c r="D13" s="1"/>
      <c r="E13" s="1"/>
      <c r="F13" s="1"/>
      <c r="G13" s="1"/>
      <c r="H13" s="1"/>
      <c r="I13" s="1"/>
    </row>
    <row r="14" spans="1:9" ht="15" customHeight="1" x14ac:dyDescent="0.35">
      <c r="A14" s="90" t="s">
        <v>206</v>
      </c>
      <c r="B14" s="1"/>
      <c r="C14" s="1"/>
      <c r="D14" s="1"/>
      <c r="E14" s="1"/>
      <c r="F14" s="1"/>
      <c r="G14" s="1"/>
      <c r="H14" s="1"/>
      <c r="I14" s="1"/>
    </row>
    <row r="15" spans="1:9" ht="15" customHeight="1" x14ac:dyDescent="0.35">
      <c r="A15" s="1"/>
      <c r="B15" s="1"/>
      <c r="C15" s="1"/>
      <c r="D15" s="1"/>
      <c r="E15" s="1"/>
      <c r="F15" s="1" t="s">
        <v>284</v>
      </c>
      <c r="G15" s="1"/>
      <c r="H15" s="1"/>
      <c r="I15" s="1"/>
    </row>
    <row r="16" spans="1:9" ht="15" customHeight="1" x14ac:dyDescent="0.35">
      <c r="A16" s="1"/>
      <c r="B16" s="1"/>
      <c r="C16" s="1"/>
      <c r="D16" s="84">
        <f>+C11</f>
        <v>4.920274</v>
      </c>
      <c r="E16" s="1"/>
      <c r="F16" s="364">
        <f>+D16/D17-1</f>
        <v>0.49341462074692677</v>
      </c>
      <c r="G16" s="1"/>
      <c r="H16" s="1"/>
      <c r="I16" s="1"/>
    </row>
    <row r="17" spans="1:9" ht="15" customHeight="1" x14ac:dyDescent="0.35">
      <c r="A17" s="1"/>
      <c r="B17" s="1"/>
      <c r="C17" s="1"/>
      <c r="D17" s="85">
        <f>+C10</f>
        <v>3.2946469999999999</v>
      </c>
      <c r="E17" s="1"/>
      <c r="F17" s="365"/>
      <c r="G17" s="1"/>
      <c r="H17" s="1"/>
      <c r="I17" s="1"/>
    </row>
    <row r="18" spans="1:9" ht="15" customHeight="1" x14ac:dyDescent="0.35">
      <c r="A18" s="1"/>
      <c r="B18" s="1"/>
      <c r="C18" s="1"/>
      <c r="D18" s="1"/>
      <c r="E18" s="1"/>
      <c r="F18" s="1"/>
      <c r="G18" s="1"/>
      <c r="H18" s="1"/>
      <c r="I18" s="1"/>
    </row>
    <row r="19" spans="1:9" ht="15" customHeight="1" x14ac:dyDescent="0.35">
      <c r="A19" s="1" t="s">
        <v>287</v>
      </c>
      <c r="B19" s="1"/>
      <c r="C19" s="141">
        <f>+F16+1</f>
        <v>1.4934146207469268</v>
      </c>
      <c r="D19" s="1"/>
      <c r="E19" s="1"/>
      <c r="F19" s="1"/>
      <c r="G19" s="1"/>
      <c r="H19" s="1"/>
      <c r="I19" s="1"/>
    </row>
    <row r="20" spans="1:9" ht="15" customHeight="1" x14ac:dyDescent="0.35">
      <c r="A20" s="1"/>
      <c r="B20" s="1"/>
      <c r="C20" s="1"/>
      <c r="D20" s="1"/>
      <c r="E20" s="1"/>
      <c r="F20" s="1"/>
      <c r="G20" s="1" t="s">
        <v>285</v>
      </c>
      <c r="H20" s="1"/>
      <c r="I20" s="1"/>
    </row>
    <row r="21" spans="1:9" ht="15" customHeight="1" x14ac:dyDescent="0.35">
      <c r="A21" s="1"/>
      <c r="B21" s="1"/>
      <c r="C21" s="1"/>
      <c r="D21" s="1"/>
      <c r="E21" s="1"/>
      <c r="F21" s="1"/>
      <c r="G21" s="1"/>
      <c r="H21" s="1"/>
      <c r="I21" s="1"/>
    </row>
    <row r="22" spans="1:9" ht="15" customHeight="1" x14ac:dyDescent="0.35">
      <c r="A22" s="1"/>
      <c r="B22" s="1"/>
      <c r="C22" s="1"/>
      <c r="D22" s="1"/>
      <c r="E22" s="1"/>
      <c r="F22" s="1"/>
      <c r="G22" s="1"/>
      <c r="H22" s="1"/>
      <c r="I22" s="1"/>
    </row>
    <row r="23" spans="1:9" ht="15" customHeight="1" x14ac:dyDescent="0.35">
      <c r="A23" s="1"/>
      <c r="B23" s="1"/>
      <c r="C23" s="1"/>
      <c r="D23" s="1"/>
      <c r="E23" s="1"/>
      <c r="F23" s="1"/>
      <c r="G23" s="1"/>
      <c r="H23" s="1"/>
      <c r="I23" s="1"/>
    </row>
    <row r="24" spans="1:9" ht="22" customHeight="1" x14ac:dyDescent="0.35">
      <c r="A24" s="90" t="s">
        <v>208</v>
      </c>
      <c r="B24" s="89"/>
      <c r="C24" s="1"/>
      <c r="D24" s="1"/>
      <c r="E24" s="1"/>
      <c r="F24" s="1"/>
      <c r="G24" s="1"/>
      <c r="H24" s="1"/>
      <c r="I24" s="1"/>
    </row>
    <row r="25" spans="1:9" ht="27" customHeight="1" x14ac:dyDescent="0.35">
      <c r="A25" s="1"/>
      <c r="B25" s="1"/>
      <c r="C25" s="83">
        <f>HLOOKUP(C$26,'MTX PRECIOS'!$B$95:$EA$96,2,0)</f>
        <v>116</v>
      </c>
      <c r="D25" s="366" t="s">
        <v>207</v>
      </c>
      <c r="E25" s="366"/>
      <c r="F25" s="1"/>
      <c r="G25" s="1"/>
      <c r="H25" s="1"/>
      <c r="I25" s="1"/>
    </row>
    <row r="26" spans="1:9" ht="15" customHeight="1" x14ac:dyDescent="0.35">
      <c r="A26" s="1"/>
      <c r="B26" s="1"/>
      <c r="C26" s="87" t="s">
        <v>18</v>
      </c>
      <c r="D26" s="86" t="s">
        <v>204</v>
      </c>
      <c r="E26" s="142" t="s">
        <v>283</v>
      </c>
      <c r="F26" s="1"/>
      <c r="G26" s="1"/>
      <c r="H26" s="1"/>
      <c r="I26" s="1"/>
    </row>
    <row r="27" spans="1:9" ht="15" customHeight="1" x14ac:dyDescent="0.35">
      <c r="A27" s="1"/>
      <c r="B27" s="25">
        <f>+B10</f>
        <v>45044</v>
      </c>
      <c r="C27" s="88">
        <f>VLOOKUP($B10,'MTX PRECIOS'!$A$5:$EC$94,$C$25,0)</f>
        <v>17.988199999999999</v>
      </c>
      <c r="D27" s="369">
        <f>+C28/C27-1</f>
        <v>-2.8874484384207255E-2</v>
      </c>
      <c r="E27" s="371">
        <f>+D27+1</f>
        <v>0.97112551561579274</v>
      </c>
      <c r="F27" s="1"/>
      <c r="G27" s="1"/>
      <c r="H27" s="1"/>
      <c r="I27" s="1"/>
    </row>
    <row r="28" spans="1:9" ht="15" customHeight="1" x14ac:dyDescent="0.35">
      <c r="A28" s="1"/>
      <c r="B28" s="25">
        <f>+B11</f>
        <v>46142</v>
      </c>
      <c r="C28" s="88">
        <f>VLOOKUP($B11,'MTX PRECIOS'!$A$5:$EC$94,$C$25,0)</f>
        <v>17.468800000000002</v>
      </c>
      <c r="D28" s="370"/>
      <c r="E28" s="372"/>
      <c r="F28" s="1"/>
      <c r="G28" s="1"/>
      <c r="H28" s="1"/>
      <c r="I28" s="1"/>
    </row>
    <row r="29" spans="1:9" ht="15" customHeight="1" x14ac:dyDescent="0.35">
      <c r="A29" s="1"/>
      <c r="B29" s="1"/>
      <c r="D29" s="1"/>
      <c r="E29" s="1"/>
      <c r="F29" s="1"/>
      <c r="G29" s="1"/>
      <c r="H29" s="1"/>
      <c r="I29" s="1"/>
    </row>
    <row r="30" spans="1:9" x14ac:dyDescent="0.35">
      <c r="A30" s="90" t="s">
        <v>209</v>
      </c>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t="s">
        <v>267</v>
      </c>
      <c r="G33" s="1"/>
      <c r="H33" s="1"/>
      <c r="I33" s="1"/>
    </row>
    <row r="34" spans="1:9" x14ac:dyDescent="0.35">
      <c r="A34" s="1"/>
      <c r="B34" s="1"/>
      <c r="C34" s="1"/>
      <c r="D34" s="144">
        <f>1+D10</f>
        <v>1.4934146207469268</v>
      </c>
      <c r="E34" s="1"/>
      <c r="F34" s="364">
        <f>+D34/D35-1</f>
        <v>0.53781833216476604</v>
      </c>
      <c r="G34" s="1"/>
      <c r="H34" s="1"/>
      <c r="I34" s="1"/>
    </row>
    <row r="35" spans="1:9" x14ac:dyDescent="0.35">
      <c r="A35" s="1"/>
      <c r="B35" s="1"/>
      <c r="C35" s="1"/>
      <c r="D35" s="145">
        <f>1+D27</f>
        <v>0.97112551561579274</v>
      </c>
      <c r="E35" s="1"/>
      <c r="F35" s="365"/>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1"/>
      <c r="B51" s="1"/>
      <c r="C51" s="1"/>
      <c r="D51" s="1"/>
      <c r="E51" s="1"/>
      <c r="F51" s="1"/>
      <c r="G51" s="1"/>
      <c r="H51" s="1"/>
      <c r="I51" s="1"/>
    </row>
    <row r="52" spans="1:9" x14ac:dyDescent="0.35">
      <c r="A52" s="1"/>
      <c r="B52" s="1"/>
      <c r="C52" s="1"/>
      <c r="D52" s="1"/>
      <c r="E52" s="1"/>
      <c r="F52" s="1"/>
      <c r="G52" s="1"/>
      <c r="H52" s="1"/>
      <c r="I52" s="1"/>
    </row>
    <row r="53" spans="1:9" x14ac:dyDescent="0.35">
      <c r="A53" s="1"/>
      <c r="B53" s="1"/>
      <c r="C53" s="1"/>
      <c r="D53" s="1"/>
      <c r="E53" s="1"/>
      <c r="F53" s="1"/>
      <c r="G53" s="1"/>
      <c r="H53" s="1"/>
      <c r="I53" s="1"/>
    </row>
    <row r="54" spans="1:9" x14ac:dyDescent="0.35">
      <c r="A54" s="1"/>
      <c r="B54" s="1"/>
      <c r="C54" s="1"/>
      <c r="D54" s="1"/>
      <c r="E54" s="1"/>
      <c r="F54" s="1"/>
      <c r="G54" s="1"/>
      <c r="H54" s="1"/>
      <c r="I54" s="1"/>
    </row>
    <row r="55" spans="1:9" x14ac:dyDescent="0.35">
      <c r="A55" s="1"/>
      <c r="B55" s="1"/>
      <c r="C55" s="1"/>
      <c r="D55" s="1"/>
      <c r="E55" s="1"/>
      <c r="F55" s="1"/>
      <c r="G55" s="1"/>
      <c r="H55" s="1"/>
      <c r="I55" s="1"/>
    </row>
    <row r="56" spans="1:9" x14ac:dyDescent="0.35">
      <c r="A56" s="1"/>
      <c r="B56" s="1"/>
      <c r="C56" s="1"/>
      <c r="D56" s="1"/>
      <c r="E56" s="1"/>
      <c r="F56" s="1"/>
      <c r="G56" s="1"/>
      <c r="H56" s="1"/>
      <c r="I56" s="1"/>
    </row>
    <row r="57" spans="1:9" x14ac:dyDescent="0.35">
      <c r="A57" s="1"/>
      <c r="B57" s="1"/>
      <c r="C57" s="147"/>
      <c r="D57" s="147"/>
      <c r="E57" s="147"/>
      <c r="F57" s="147"/>
      <c r="G57" s="147"/>
      <c r="H57" s="147"/>
      <c r="I57" s="147"/>
    </row>
    <row r="58" spans="1:9" x14ac:dyDescent="0.35">
      <c r="A58" s="1"/>
      <c r="B58" s="1"/>
      <c r="C58" s="147"/>
      <c r="D58" s="147"/>
      <c r="E58" s="147"/>
      <c r="F58" s="147"/>
      <c r="G58" s="147"/>
      <c r="H58" s="147"/>
      <c r="I58" s="147"/>
    </row>
    <row r="59" spans="1:9" x14ac:dyDescent="0.35">
      <c r="A59" s="1"/>
      <c r="B59" s="1"/>
      <c r="C59" s="147"/>
      <c r="D59" s="147"/>
      <c r="E59" s="147"/>
      <c r="F59" s="147"/>
      <c r="G59" s="147"/>
      <c r="H59" s="147"/>
      <c r="I59" s="147"/>
    </row>
    <row r="60" spans="1:9" x14ac:dyDescent="0.35">
      <c r="A60" s="147" t="s">
        <v>25</v>
      </c>
      <c r="B60" s="147"/>
      <c r="C60" s="147"/>
      <c r="D60" s="147"/>
      <c r="E60" s="147"/>
      <c r="F60" s="147"/>
      <c r="G60" s="147"/>
      <c r="H60" s="147"/>
      <c r="I60" s="147"/>
    </row>
    <row r="61" spans="1:9" x14ac:dyDescent="0.35">
      <c r="A61" s="148" t="s">
        <v>84</v>
      </c>
      <c r="B61" s="147"/>
      <c r="C61" s="147"/>
      <c r="D61" s="147"/>
      <c r="E61" s="147"/>
      <c r="F61" s="147"/>
      <c r="G61" s="147"/>
      <c r="H61" s="147"/>
      <c r="I61" s="147"/>
    </row>
    <row r="62" spans="1:9" x14ac:dyDescent="0.35">
      <c r="A62" s="148" t="s">
        <v>85</v>
      </c>
      <c r="B62" s="147"/>
      <c r="C62" s="147"/>
      <c r="D62" s="147"/>
      <c r="E62" s="147"/>
      <c r="F62" s="147"/>
      <c r="G62" s="147"/>
      <c r="H62" s="147"/>
      <c r="I62" s="147"/>
    </row>
    <row r="63" spans="1:9" x14ac:dyDescent="0.35">
      <c r="A63" s="148" t="s">
        <v>88</v>
      </c>
      <c r="B63" s="147"/>
      <c r="C63" s="147"/>
      <c r="D63" s="147"/>
      <c r="E63" s="147"/>
      <c r="F63" s="147"/>
      <c r="G63" s="147"/>
      <c r="H63" s="147"/>
      <c r="I63" s="147"/>
    </row>
    <row r="64" spans="1:9" x14ac:dyDescent="0.35">
      <c r="A64" s="148" t="s">
        <v>89</v>
      </c>
      <c r="B64" s="147"/>
      <c r="C64" s="147"/>
      <c r="D64" s="147"/>
      <c r="E64" s="147"/>
      <c r="F64" s="147"/>
      <c r="G64" s="147"/>
      <c r="H64" s="147"/>
      <c r="I64" s="147"/>
    </row>
    <row r="65" spans="1:9" x14ac:dyDescent="0.35">
      <c r="A65" s="148" t="s">
        <v>90</v>
      </c>
      <c r="B65" s="147"/>
      <c r="C65" s="147"/>
      <c r="D65" s="147"/>
      <c r="E65" s="147"/>
      <c r="F65" s="147"/>
      <c r="G65" s="147"/>
      <c r="H65" s="147"/>
      <c r="I65" s="147"/>
    </row>
    <row r="66" spans="1:9" x14ac:dyDescent="0.35">
      <c r="A66" s="148" t="s">
        <v>86</v>
      </c>
      <c r="B66" s="147"/>
      <c r="C66" s="147"/>
      <c r="D66" s="147"/>
      <c r="E66" s="147"/>
      <c r="F66" s="147"/>
      <c r="G66" s="147"/>
      <c r="H66" s="147"/>
      <c r="I66" s="147"/>
    </row>
    <row r="67" spans="1:9" x14ac:dyDescent="0.35">
      <c r="A67" s="148" t="s">
        <v>87</v>
      </c>
      <c r="B67" s="147"/>
      <c r="C67" s="147"/>
      <c r="D67" s="147"/>
      <c r="E67" s="147"/>
      <c r="F67" s="147"/>
      <c r="G67" s="147"/>
      <c r="H67" s="147"/>
      <c r="I67" s="147"/>
    </row>
    <row r="68" spans="1:9" x14ac:dyDescent="0.35">
      <c r="A68" s="148" t="s">
        <v>92</v>
      </c>
      <c r="B68" s="147"/>
      <c r="C68" s="147"/>
      <c r="D68" s="147"/>
      <c r="E68" s="147"/>
      <c r="F68" s="147"/>
      <c r="G68" s="147"/>
      <c r="H68" s="147"/>
      <c r="I68" s="147"/>
    </row>
    <row r="69" spans="1:9" x14ac:dyDescent="0.35">
      <c r="A69" s="148" t="s">
        <v>93</v>
      </c>
      <c r="B69" s="147"/>
      <c r="C69" s="147"/>
      <c r="D69" s="147"/>
      <c r="E69" s="147"/>
      <c r="F69" s="147"/>
      <c r="G69" s="147"/>
      <c r="H69" s="147"/>
      <c r="I69" s="147"/>
    </row>
    <row r="70" spans="1:9" x14ac:dyDescent="0.35">
      <c r="A70" s="148" t="s">
        <v>94</v>
      </c>
      <c r="B70" s="147"/>
      <c r="C70" s="147"/>
      <c r="D70" s="147"/>
      <c r="E70" s="147"/>
      <c r="F70" s="147"/>
      <c r="G70" s="147"/>
      <c r="H70" s="147"/>
      <c r="I70" s="147"/>
    </row>
    <row r="71" spans="1:9" x14ac:dyDescent="0.35">
      <c r="A71" s="148" t="s">
        <v>91</v>
      </c>
      <c r="B71" s="147"/>
      <c r="C71" s="147"/>
      <c r="D71" s="147"/>
      <c r="E71" s="147"/>
      <c r="F71" s="147"/>
      <c r="G71" s="147"/>
      <c r="H71" s="147"/>
      <c r="I71" s="147"/>
    </row>
    <row r="72" spans="1:9" x14ac:dyDescent="0.35">
      <c r="A72" s="148" t="s">
        <v>114</v>
      </c>
      <c r="B72" s="147"/>
      <c r="C72" s="147"/>
      <c r="D72" s="147"/>
      <c r="E72" s="147"/>
      <c r="F72" s="147"/>
      <c r="G72" s="147"/>
      <c r="H72" s="147"/>
      <c r="I72" s="147"/>
    </row>
    <row r="73" spans="1:9" x14ac:dyDescent="0.35">
      <c r="A73" s="148" t="s">
        <v>115</v>
      </c>
      <c r="B73" s="147"/>
      <c r="C73" s="147"/>
      <c r="D73" s="147"/>
      <c r="E73" s="147"/>
      <c r="F73" s="147"/>
      <c r="G73" s="147"/>
      <c r="H73" s="147"/>
      <c r="I73" s="147"/>
    </row>
    <row r="74" spans="1:9" x14ac:dyDescent="0.35">
      <c r="A74" s="148" t="s">
        <v>118</v>
      </c>
      <c r="B74" s="147"/>
      <c r="C74" s="147"/>
      <c r="D74" s="147"/>
      <c r="E74" s="147"/>
      <c r="F74" s="147"/>
      <c r="G74" s="147"/>
      <c r="H74" s="147"/>
      <c r="I74" s="147"/>
    </row>
    <row r="75" spans="1:9" x14ac:dyDescent="0.35">
      <c r="A75" s="148" t="s">
        <v>119</v>
      </c>
      <c r="B75" s="147"/>
      <c r="C75" s="147"/>
      <c r="D75" s="147"/>
      <c r="E75" s="147"/>
      <c r="F75" s="147"/>
      <c r="G75" s="147"/>
      <c r="H75" s="147"/>
      <c r="I75" s="147"/>
    </row>
    <row r="76" spans="1:9" x14ac:dyDescent="0.35">
      <c r="A76" s="148" t="s">
        <v>120</v>
      </c>
      <c r="B76" s="147"/>
      <c r="C76" s="147"/>
      <c r="D76" s="147"/>
      <c r="E76" s="147"/>
      <c r="F76" s="147"/>
      <c r="G76" s="147"/>
      <c r="H76" s="147"/>
      <c r="I76" s="147"/>
    </row>
    <row r="77" spans="1:9" x14ac:dyDescent="0.35">
      <c r="A77" s="148" t="s">
        <v>116</v>
      </c>
      <c r="B77" s="147"/>
      <c r="C77" s="147"/>
      <c r="D77" s="147"/>
      <c r="E77" s="147"/>
      <c r="F77" s="147"/>
      <c r="G77" s="147"/>
      <c r="H77" s="147"/>
      <c r="I77" s="147"/>
    </row>
    <row r="78" spans="1:9" x14ac:dyDescent="0.35">
      <c r="A78" s="148" t="s">
        <v>117</v>
      </c>
      <c r="B78" s="147"/>
      <c r="C78" s="147"/>
      <c r="D78" s="147"/>
      <c r="E78" s="147"/>
      <c r="F78" s="147"/>
      <c r="G78" s="147"/>
      <c r="H78" s="147"/>
      <c r="I78" s="147"/>
    </row>
    <row r="79" spans="1:9" x14ac:dyDescent="0.35">
      <c r="A79" s="148" t="s">
        <v>122</v>
      </c>
      <c r="B79" s="147"/>
      <c r="C79" s="147"/>
      <c r="D79" s="147"/>
      <c r="E79" s="147"/>
      <c r="F79" s="147"/>
      <c r="G79" s="147"/>
      <c r="H79" s="147"/>
      <c r="I79" s="147"/>
    </row>
    <row r="80" spans="1:9" x14ac:dyDescent="0.35">
      <c r="A80" s="148" t="s">
        <v>123</v>
      </c>
      <c r="B80" s="147"/>
      <c r="C80" s="147"/>
      <c r="D80" s="147"/>
      <c r="E80" s="147"/>
      <c r="F80" s="147"/>
      <c r="G80" s="147"/>
      <c r="H80" s="147"/>
      <c r="I80" s="147"/>
    </row>
    <row r="81" spans="1:9" x14ac:dyDescent="0.35">
      <c r="A81" s="148" t="s">
        <v>124</v>
      </c>
      <c r="B81" s="147"/>
      <c r="C81" s="147"/>
      <c r="D81" s="147"/>
      <c r="E81" s="147"/>
      <c r="F81" s="147"/>
      <c r="G81" s="147"/>
      <c r="H81" s="147"/>
      <c r="I81" s="147"/>
    </row>
    <row r="82" spans="1:9" x14ac:dyDescent="0.35">
      <c r="A82" s="148" t="s">
        <v>121</v>
      </c>
      <c r="B82" s="147"/>
      <c r="C82" s="147"/>
      <c r="D82" s="147"/>
      <c r="E82" s="147"/>
      <c r="F82" s="147"/>
      <c r="G82" s="147"/>
      <c r="H82" s="147"/>
      <c r="I82" s="147"/>
    </row>
    <row r="83" spans="1:9" x14ac:dyDescent="0.35">
      <c r="A83" s="149" t="s">
        <v>140</v>
      </c>
      <c r="B83" s="147"/>
      <c r="C83" s="147"/>
      <c r="D83" s="147"/>
      <c r="E83" s="147"/>
      <c r="F83" s="147"/>
      <c r="G83" s="147"/>
      <c r="H83" s="147"/>
      <c r="I83" s="147"/>
    </row>
    <row r="84" spans="1:9" x14ac:dyDescent="0.35">
      <c r="A84" s="147" t="s">
        <v>134</v>
      </c>
      <c r="B84" s="147"/>
      <c r="C84" s="147"/>
      <c r="D84" s="147"/>
      <c r="E84" s="147"/>
      <c r="F84" s="147"/>
      <c r="G84" s="147"/>
      <c r="H84" s="147"/>
      <c r="I84" s="147"/>
    </row>
    <row r="85" spans="1:9" x14ac:dyDescent="0.35">
      <c r="A85" s="149" t="s">
        <v>135</v>
      </c>
      <c r="B85" s="147"/>
      <c r="C85" s="147"/>
      <c r="D85" s="147"/>
      <c r="E85" s="147"/>
      <c r="F85" s="147"/>
      <c r="G85" s="147"/>
      <c r="H85" s="147"/>
      <c r="I85" s="147"/>
    </row>
    <row r="86" spans="1:9" x14ac:dyDescent="0.35">
      <c r="A86" s="149" t="s">
        <v>136</v>
      </c>
      <c r="B86" s="147"/>
      <c r="C86" s="147"/>
      <c r="D86" s="147"/>
      <c r="E86" s="147"/>
      <c r="F86" s="147"/>
      <c r="G86" s="147"/>
      <c r="H86" s="147"/>
      <c r="I86" s="147"/>
    </row>
    <row r="87" spans="1:9" x14ac:dyDescent="0.35">
      <c r="A87" s="149" t="s">
        <v>137</v>
      </c>
      <c r="B87" s="147"/>
      <c r="C87" s="147"/>
      <c r="D87" s="147"/>
      <c r="E87" s="147"/>
      <c r="F87" s="147"/>
      <c r="G87" s="147"/>
      <c r="H87" s="147"/>
      <c r="I87" s="147"/>
    </row>
    <row r="88" spans="1:9" x14ac:dyDescent="0.35">
      <c r="A88" s="149" t="s">
        <v>138</v>
      </c>
      <c r="B88" s="147"/>
      <c r="C88" s="147"/>
      <c r="D88" s="147"/>
      <c r="E88" s="147"/>
      <c r="F88" s="147"/>
      <c r="G88" s="147"/>
      <c r="H88" s="147"/>
      <c r="I88" s="147"/>
    </row>
    <row r="89" spans="1:9" x14ac:dyDescent="0.35">
      <c r="A89" s="148" t="s">
        <v>95</v>
      </c>
      <c r="B89" s="147"/>
      <c r="C89" s="147"/>
      <c r="D89" s="147"/>
      <c r="E89" s="147"/>
      <c r="F89" s="147"/>
      <c r="G89" s="147"/>
      <c r="H89" s="147"/>
      <c r="I89" s="147"/>
    </row>
    <row r="90" spans="1:9" x14ac:dyDescent="0.35">
      <c r="A90" s="148" t="s">
        <v>96</v>
      </c>
      <c r="B90" s="147"/>
      <c r="C90" s="147"/>
      <c r="D90" s="147"/>
      <c r="E90" s="147"/>
      <c r="F90" s="147"/>
      <c r="G90" s="147"/>
      <c r="H90" s="147"/>
      <c r="I90" s="147"/>
    </row>
    <row r="91" spans="1:9" x14ac:dyDescent="0.35">
      <c r="A91" s="148" t="s">
        <v>99</v>
      </c>
      <c r="B91" s="147"/>
      <c r="C91" s="147"/>
      <c r="D91" s="147"/>
      <c r="E91" s="147"/>
      <c r="F91" s="147"/>
      <c r="G91" s="147"/>
      <c r="H91" s="147"/>
      <c r="I91" s="147"/>
    </row>
    <row r="92" spans="1:9" x14ac:dyDescent="0.35">
      <c r="A92" s="148" t="s">
        <v>100</v>
      </c>
      <c r="B92" s="147"/>
      <c r="C92" s="147"/>
      <c r="D92" s="147"/>
      <c r="E92" s="147"/>
      <c r="F92" s="147"/>
      <c r="G92" s="147"/>
      <c r="H92" s="147"/>
      <c r="I92" s="147"/>
    </row>
    <row r="93" spans="1:9" x14ac:dyDescent="0.35">
      <c r="A93" s="148" t="s">
        <v>101</v>
      </c>
      <c r="B93" s="147"/>
      <c r="C93" s="147"/>
      <c r="D93" s="147"/>
      <c r="E93" s="147"/>
      <c r="F93" s="147"/>
      <c r="G93" s="147"/>
      <c r="H93" s="147"/>
      <c r="I93" s="147"/>
    </row>
    <row r="94" spans="1:9" x14ac:dyDescent="0.35">
      <c r="A94" s="148" t="s">
        <v>97</v>
      </c>
      <c r="B94" s="147"/>
      <c r="C94" s="147"/>
      <c r="D94" s="147"/>
      <c r="E94" s="147"/>
      <c r="F94" s="147"/>
      <c r="G94" s="147"/>
      <c r="H94" s="147"/>
      <c r="I94" s="147"/>
    </row>
    <row r="95" spans="1:9" x14ac:dyDescent="0.35">
      <c r="A95" s="148" t="s">
        <v>98</v>
      </c>
      <c r="B95" s="147"/>
      <c r="C95" s="147"/>
      <c r="D95" s="147"/>
      <c r="E95" s="147"/>
      <c r="F95" s="147"/>
      <c r="G95" s="147"/>
      <c r="H95" s="147"/>
      <c r="I95" s="147"/>
    </row>
    <row r="96" spans="1:9" x14ac:dyDescent="0.35">
      <c r="A96" s="148" t="s">
        <v>103</v>
      </c>
      <c r="B96" s="147"/>
      <c r="C96" s="147"/>
      <c r="D96" s="147"/>
      <c r="E96" s="147"/>
      <c r="F96" s="147"/>
      <c r="G96" s="147"/>
      <c r="H96" s="147"/>
      <c r="I96" s="147"/>
    </row>
    <row r="97" spans="1:9" x14ac:dyDescent="0.35">
      <c r="A97" s="148" t="s">
        <v>104</v>
      </c>
      <c r="B97" s="147"/>
      <c r="C97" s="147"/>
      <c r="D97" s="147"/>
      <c r="E97" s="147"/>
      <c r="F97" s="147"/>
      <c r="G97" s="147"/>
      <c r="H97" s="147"/>
      <c r="I97" s="147"/>
    </row>
    <row r="98" spans="1:9" x14ac:dyDescent="0.35">
      <c r="A98" s="148" t="s">
        <v>105</v>
      </c>
      <c r="B98" s="147"/>
      <c r="C98" s="147"/>
      <c r="D98" s="147"/>
      <c r="E98" s="147"/>
      <c r="F98" s="147"/>
      <c r="G98" s="147"/>
      <c r="H98" s="147"/>
      <c r="I98" s="147"/>
    </row>
    <row r="99" spans="1:9" x14ac:dyDescent="0.35">
      <c r="A99" s="148" t="s">
        <v>102</v>
      </c>
      <c r="B99" s="147"/>
      <c r="C99" s="147"/>
      <c r="D99" s="147"/>
      <c r="E99" s="147"/>
      <c r="F99" s="147"/>
      <c r="G99" s="147"/>
      <c r="H99" s="147"/>
      <c r="I99" s="147"/>
    </row>
    <row r="100" spans="1:9" x14ac:dyDescent="0.35">
      <c r="A100" s="148" t="s">
        <v>141</v>
      </c>
      <c r="B100" s="147"/>
      <c r="C100" s="147"/>
      <c r="D100" s="147"/>
      <c r="E100" s="147"/>
      <c r="F100" s="147"/>
      <c r="G100" s="147"/>
      <c r="H100" s="147"/>
      <c r="I100" s="147"/>
    </row>
    <row r="101" spans="1:9" x14ac:dyDescent="0.35">
      <c r="A101" s="148" t="s">
        <v>132</v>
      </c>
      <c r="B101" s="147"/>
      <c r="C101" s="147"/>
      <c r="D101" s="147"/>
      <c r="E101" s="147"/>
      <c r="F101" s="147"/>
      <c r="G101" s="147"/>
      <c r="H101" s="147"/>
      <c r="I101" s="147"/>
    </row>
    <row r="102" spans="1:9" x14ac:dyDescent="0.35">
      <c r="A102" s="148" t="s">
        <v>143</v>
      </c>
      <c r="B102" s="147"/>
      <c r="C102" s="147"/>
      <c r="D102" s="147"/>
      <c r="E102" s="147"/>
      <c r="F102" s="147"/>
      <c r="G102" s="147"/>
      <c r="H102" s="147"/>
      <c r="I102" s="147"/>
    </row>
    <row r="103" spans="1:9" x14ac:dyDescent="0.35">
      <c r="A103" s="148" t="s">
        <v>144</v>
      </c>
      <c r="B103" s="147"/>
      <c r="C103" s="147"/>
      <c r="D103" s="147"/>
      <c r="E103" s="147"/>
      <c r="F103" s="147"/>
      <c r="G103" s="147"/>
      <c r="H103" s="147"/>
      <c r="I103" s="147"/>
    </row>
    <row r="104" spans="1:9" x14ac:dyDescent="0.35">
      <c r="A104" s="148" t="s">
        <v>142</v>
      </c>
      <c r="B104" s="147"/>
      <c r="C104" s="147"/>
      <c r="D104" s="147"/>
      <c r="E104" s="147"/>
      <c r="F104" s="147"/>
      <c r="G104" s="147"/>
      <c r="H104" s="147"/>
      <c r="I104" s="147"/>
    </row>
    <row r="105" spans="1:9" x14ac:dyDescent="0.35">
      <c r="A105" s="148" t="s">
        <v>145</v>
      </c>
      <c r="B105" s="147"/>
      <c r="C105" s="147"/>
      <c r="D105" s="147"/>
      <c r="E105" s="147"/>
      <c r="F105" s="147"/>
      <c r="G105" s="147"/>
      <c r="H105" s="147"/>
      <c r="I105" s="147"/>
    </row>
    <row r="106" spans="1:9" x14ac:dyDescent="0.35">
      <c r="A106" s="148" t="s">
        <v>214</v>
      </c>
      <c r="B106" s="147"/>
      <c r="C106" s="147"/>
      <c r="D106" s="147"/>
      <c r="E106" s="147"/>
      <c r="F106" s="147"/>
      <c r="G106" s="147"/>
      <c r="H106" s="147"/>
      <c r="I106" s="147"/>
    </row>
    <row r="107" spans="1:9" x14ac:dyDescent="0.35">
      <c r="A107" s="148" t="s">
        <v>215</v>
      </c>
      <c r="B107" s="147"/>
      <c r="C107" s="147"/>
      <c r="D107" s="147"/>
      <c r="E107" s="147"/>
      <c r="F107" s="147"/>
      <c r="G107" s="147"/>
      <c r="H107" s="147"/>
      <c r="I107" s="147"/>
    </row>
    <row r="108" spans="1:9" x14ac:dyDescent="0.35">
      <c r="A108" s="148" t="s">
        <v>216</v>
      </c>
      <c r="B108" s="147"/>
      <c r="C108" s="147"/>
      <c r="D108" s="147"/>
      <c r="E108" s="147"/>
      <c r="F108" s="147"/>
      <c r="G108" s="147"/>
      <c r="H108" s="147"/>
      <c r="I108" s="147"/>
    </row>
    <row r="109" spans="1:9" x14ac:dyDescent="0.35">
      <c r="A109" s="148" t="s">
        <v>217</v>
      </c>
      <c r="B109" s="147"/>
      <c r="C109" s="147"/>
      <c r="D109" s="147"/>
      <c r="E109" s="147"/>
      <c r="F109" s="147"/>
      <c r="G109" s="147"/>
      <c r="H109" s="147"/>
      <c r="I109" s="147"/>
    </row>
    <row r="110" spans="1:9" x14ac:dyDescent="0.35">
      <c r="A110" s="148" t="s">
        <v>218</v>
      </c>
      <c r="B110" s="147"/>
      <c r="C110" s="147"/>
      <c r="D110" s="147"/>
      <c r="E110" s="147"/>
      <c r="F110" s="147"/>
      <c r="G110" s="147"/>
      <c r="H110" s="147"/>
      <c r="I110" s="147"/>
    </row>
    <row r="111" spans="1:9" x14ac:dyDescent="0.35">
      <c r="A111" s="148" t="s">
        <v>219</v>
      </c>
      <c r="B111" s="147"/>
      <c r="C111" s="147"/>
      <c r="D111" s="147"/>
      <c r="E111" s="147"/>
      <c r="F111" s="147"/>
      <c r="G111" s="147"/>
      <c r="H111" s="147"/>
      <c r="I111" s="147"/>
    </row>
    <row r="112" spans="1:9" x14ac:dyDescent="0.35">
      <c r="A112" s="148" t="s">
        <v>220</v>
      </c>
      <c r="B112" s="147"/>
      <c r="C112" s="147"/>
      <c r="D112" s="147"/>
      <c r="E112" s="147"/>
      <c r="F112" s="147"/>
      <c r="G112" s="147"/>
      <c r="H112" s="147"/>
      <c r="I112" s="147"/>
    </row>
    <row r="113" spans="1:9" x14ac:dyDescent="0.35">
      <c r="A113" s="148" t="s">
        <v>112</v>
      </c>
      <c r="B113" s="147"/>
      <c r="C113" s="147"/>
      <c r="D113" s="147"/>
      <c r="E113" s="147"/>
      <c r="F113" s="147"/>
      <c r="G113" s="147"/>
      <c r="H113" s="147"/>
      <c r="I113" s="147"/>
    </row>
    <row r="114" spans="1:9" x14ac:dyDescent="0.35">
      <c r="A114" s="148" t="s">
        <v>281</v>
      </c>
      <c r="B114" s="147"/>
      <c r="C114" s="147"/>
      <c r="D114" s="147"/>
      <c r="E114" s="147"/>
      <c r="F114" s="147"/>
      <c r="G114" s="147"/>
      <c r="H114" s="147"/>
      <c r="I114" s="147"/>
    </row>
    <row r="115" spans="1:9" x14ac:dyDescent="0.35">
      <c r="A115" s="148" t="s">
        <v>16</v>
      </c>
      <c r="B115" s="147"/>
      <c r="C115" s="147"/>
      <c r="D115" s="147"/>
      <c r="E115" s="147"/>
      <c r="F115" s="147"/>
      <c r="G115" s="147"/>
      <c r="H115" s="147"/>
      <c r="I115" s="147"/>
    </row>
    <row r="116" spans="1:9" x14ac:dyDescent="0.35">
      <c r="A116" s="147"/>
      <c r="B116" s="147"/>
      <c r="C116" s="147"/>
      <c r="D116" s="147"/>
      <c r="E116" s="147"/>
      <c r="F116" s="147"/>
      <c r="G116" s="147"/>
      <c r="H116" s="147"/>
      <c r="I116" s="147"/>
    </row>
    <row r="117" spans="1:9" x14ac:dyDescent="0.35">
      <c r="A117" s="147"/>
      <c r="B117" s="147"/>
      <c r="C117" s="147"/>
      <c r="D117" s="147"/>
      <c r="E117" s="147"/>
      <c r="F117" s="147"/>
      <c r="G117" s="147"/>
      <c r="H117" s="147"/>
      <c r="I117" s="147"/>
    </row>
    <row r="118" spans="1:9" x14ac:dyDescent="0.35">
      <c r="A118" s="147" t="s">
        <v>201</v>
      </c>
      <c r="B118" s="147"/>
      <c r="C118" s="147"/>
      <c r="D118" s="147"/>
      <c r="E118" s="147"/>
      <c r="F118" s="147"/>
      <c r="G118" s="147"/>
      <c r="H118" s="147"/>
      <c r="I118" s="147"/>
    </row>
    <row r="119" spans="1:9" x14ac:dyDescent="0.35">
      <c r="A119" s="150">
        <f>+'36 MESES'!B71</f>
        <v>45044</v>
      </c>
      <c r="B119" s="147"/>
      <c r="C119" s="147"/>
      <c r="D119" s="147"/>
      <c r="E119" s="147"/>
      <c r="F119" s="147"/>
      <c r="G119" s="147"/>
      <c r="H119" s="147"/>
      <c r="I119" s="147"/>
    </row>
    <row r="120" spans="1:9" x14ac:dyDescent="0.35">
      <c r="A120" s="150">
        <f>+'36 MESES'!B72</f>
        <v>45077</v>
      </c>
      <c r="B120" s="147"/>
      <c r="C120" s="147"/>
      <c r="D120" s="147"/>
      <c r="E120" s="147"/>
      <c r="F120" s="147"/>
      <c r="G120" s="147"/>
      <c r="H120" s="147"/>
      <c r="I120" s="147"/>
    </row>
    <row r="121" spans="1:9" x14ac:dyDescent="0.35">
      <c r="A121" s="150">
        <f>+'36 MESES'!B73</f>
        <v>45107</v>
      </c>
      <c r="B121" s="147"/>
      <c r="C121" s="147"/>
      <c r="D121" s="147"/>
      <c r="E121" s="147"/>
      <c r="F121" s="147"/>
      <c r="G121" s="147"/>
      <c r="H121" s="147"/>
      <c r="I121" s="147"/>
    </row>
    <row r="122" spans="1:9" x14ac:dyDescent="0.35">
      <c r="A122" s="150">
        <f>+'36 MESES'!B74</f>
        <v>45138</v>
      </c>
      <c r="B122" s="147"/>
      <c r="C122" s="147"/>
      <c r="D122" s="147"/>
      <c r="E122" s="147"/>
      <c r="F122" s="147"/>
      <c r="G122" s="147"/>
      <c r="H122" s="147"/>
      <c r="I122" s="147"/>
    </row>
    <row r="123" spans="1:9" x14ac:dyDescent="0.35">
      <c r="A123" s="150">
        <f>+'36 MESES'!B75</f>
        <v>45169</v>
      </c>
      <c r="B123" s="147"/>
      <c r="C123" s="147"/>
      <c r="D123" s="147"/>
      <c r="E123" s="147"/>
      <c r="F123" s="147"/>
      <c r="G123" s="147"/>
      <c r="H123" s="147"/>
      <c r="I123" s="147"/>
    </row>
    <row r="124" spans="1:9" x14ac:dyDescent="0.35">
      <c r="A124" s="150">
        <f>+'36 MESES'!B76</f>
        <v>45198</v>
      </c>
      <c r="B124" s="147"/>
      <c r="C124" s="147"/>
      <c r="D124" s="147"/>
      <c r="E124" s="147"/>
      <c r="F124" s="147"/>
      <c r="G124" s="147"/>
      <c r="H124" s="147"/>
      <c r="I124" s="147"/>
    </row>
    <row r="125" spans="1:9" x14ac:dyDescent="0.35">
      <c r="A125" s="150">
        <f>+'36 MESES'!B77</f>
        <v>45230</v>
      </c>
      <c r="B125" s="147"/>
      <c r="C125" s="147"/>
      <c r="D125" s="147"/>
      <c r="E125" s="147"/>
      <c r="F125" s="147"/>
      <c r="G125" s="147"/>
      <c r="H125" s="147"/>
      <c r="I125" s="147"/>
    </row>
    <row r="126" spans="1:9" x14ac:dyDescent="0.35">
      <c r="A126" s="150">
        <f>+'36 MESES'!B78</f>
        <v>45260</v>
      </c>
      <c r="B126" s="147"/>
      <c r="C126" s="147"/>
      <c r="D126" s="147"/>
      <c r="E126" s="147"/>
      <c r="F126" s="147"/>
      <c r="G126" s="147"/>
      <c r="H126" s="147"/>
      <c r="I126" s="147"/>
    </row>
    <row r="127" spans="1:9" x14ac:dyDescent="0.35">
      <c r="A127" s="150">
        <f>+'36 MESES'!B79</f>
        <v>45289</v>
      </c>
      <c r="B127" s="147"/>
      <c r="C127" s="147"/>
      <c r="D127" s="147"/>
      <c r="E127" s="147"/>
      <c r="F127" s="147"/>
      <c r="G127" s="147"/>
      <c r="H127" s="147"/>
      <c r="I127" s="147"/>
    </row>
    <row r="128" spans="1:9" x14ac:dyDescent="0.35">
      <c r="A128" s="150">
        <f>+'36 MESES'!B80</f>
        <v>45322</v>
      </c>
      <c r="B128" s="147"/>
      <c r="C128" s="147"/>
      <c r="D128" s="147"/>
      <c r="E128" s="147"/>
      <c r="F128" s="147"/>
      <c r="G128" s="147"/>
      <c r="H128" s="147"/>
      <c r="I128" s="147"/>
    </row>
    <row r="129" spans="1:9" x14ac:dyDescent="0.35">
      <c r="A129" s="150">
        <f>+'36 MESES'!B81</f>
        <v>45351</v>
      </c>
      <c r="B129" s="147"/>
      <c r="C129" s="147"/>
      <c r="D129" s="147"/>
      <c r="E129" s="147"/>
      <c r="F129" s="147"/>
      <c r="G129" s="147"/>
      <c r="H129" s="147"/>
      <c r="I129" s="147"/>
    </row>
    <row r="130" spans="1:9" x14ac:dyDescent="0.35">
      <c r="A130" s="150">
        <f>+'36 MESES'!B82</f>
        <v>45378</v>
      </c>
      <c r="B130" s="147"/>
      <c r="C130" s="147"/>
      <c r="D130" s="147"/>
      <c r="E130" s="147"/>
      <c r="F130" s="147"/>
      <c r="G130" s="147"/>
      <c r="H130" s="147"/>
      <c r="I130" s="147"/>
    </row>
    <row r="131" spans="1:9" x14ac:dyDescent="0.35">
      <c r="A131" s="150">
        <f>+'36 MESES'!B83</f>
        <v>45412</v>
      </c>
      <c r="B131" s="147"/>
      <c r="C131" s="147"/>
      <c r="D131" s="147"/>
      <c r="E131" s="147"/>
      <c r="F131" s="147"/>
      <c r="G131" s="147"/>
      <c r="H131" s="147"/>
      <c r="I131" s="147"/>
    </row>
    <row r="132" spans="1:9" x14ac:dyDescent="0.35">
      <c r="A132" s="150">
        <f>+'36 MESES'!B84</f>
        <v>45443</v>
      </c>
      <c r="B132" s="147"/>
      <c r="C132" s="147"/>
      <c r="D132" s="147"/>
      <c r="E132" s="147"/>
      <c r="F132" s="147"/>
      <c r="G132" s="147"/>
      <c r="H132" s="147"/>
      <c r="I132" s="147"/>
    </row>
    <row r="133" spans="1:9" x14ac:dyDescent="0.35">
      <c r="A133" s="150">
        <f>+'36 MESES'!B85</f>
        <v>45471</v>
      </c>
      <c r="B133" s="147"/>
      <c r="C133" s="147"/>
      <c r="D133" s="147"/>
      <c r="E133" s="147"/>
      <c r="F133" s="147"/>
      <c r="G133" s="147"/>
      <c r="H133" s="147"/>
      <c r="I133" s="147"/>
    </row>
    <row r="134" spans="1:9" x14ac:dyDescent="0.35">
      <c r="A134" s="150">
        <f>+'36 MESES'!B86</f>
        <v>45504</v>
      </c>
      <c r="B134" s="147"/>
      <c r="C134" s="147"/>
      <c r="D134" s="147"/>
      <c r="E134" s="147"/>
      <c r="F134" s="147"/>
      <c r="G134" s="147"/>
      <c r="H134" s="147"/>
      <c r="I134" s="147"/>
    </row>
    <row r="135" spans="1:9" x14ac:dyDescent="0.35">
      <c r="A135" s="150">
        <f>+'36 MESES'!B87</f>
        <v>45534</v>
      </c>
      <c r="B135" s="147"/>
      <c r="C135" s="147"/>
      <c r="D135" s="147"/>
      <c r="E135" s="147"/>
      <c r="F135" s="147"/>
      <c r="G135" s="147"/>
      <c r="H135" s="147"/>
      <c r="I135" s="147"/>
    </row>
    <row r="136" spans="1:9" x14ac:dyDescent="0.35">
      <c r="A136" s="150">
        <f>+'36 MESES'!B88</f>
        <v>45565</v>
      </c>
      <c r="B136" s="147"/>
      <c r="C136" s="147"/>
      <c r="D136" s="147"/>
      <c r="E136" s="147"/>
      <c r="F136" s="147"/>
      <c r="G136" s="147"/>
      <c r="H136" s="147"/>
      <c r="I136" s="147"/>
    </row>
    <row r="137" spans="1:9" x14ac:dyDescent="0.35">
      <c r="A137" s="150">
        <f>+'36 MESES'!B89</f>
        <v>45596</v>
      </c>
      <c r="B137" s="147"/>
      <c r="C137" s="147"/>
      <c r="D137" s="147"/>
      <c r="E137" s="147"/>
      <c r="F137" s="147"/>
      <c r="G137" s="147"/>
      <c r="H137" s="147"/>
      <c r="I137" s="147"/>
    </row>
    <row r="138" spans="1:9" x14ac:dyDescent="0.35">
      <c r="A138" s="150">
        <f>+'36 MESES'!B90</f>
        <v>45625</v>
      </c>
      <c r="B138" s="147"/>
      <c r="C138" s="147"/>
      <c r="D138" s="147"/>
      <c r="E138" s="147"/>
      <c r="F138" s="147"/>
      <c r="G138" s="147"/>
      <c r="H138" s="147"/>
      <c r="I138" s="147"/>
    </row>
    <row r="139" spans="1:9" x14ac:dyDescent="0.35">
      <c r="A139" s="150">
        <f>+'36 MESES'!B91</f>
        <v>45657</v>
      </c>
      <c r="B139" s="147"/>
      <c r="C139" s="147"/>
      <c r="D139" s="147"/>
      <c r="E139" s="147"/>
      <c r="F139" s="147"/>
      <c r="G139" s="147"/>
      <c r="H139" s="147"/>
      <c r="I139" s="147"/>
    </row>
    <row r="140" spans="1:9" x14ac:dyDescent="0.35">
      <c r="A140" s="150">
        <f>+'36 MESES'!B92</f>
        <v>45688</v>
      </c>
      <c r="B140" s="147"/>
      <c r="C140" s="147"/>
      <c r="D140" s="147"/>
      <c r="E140" s="147"/>
      <c r="F140" s="147"/>
      <c r="G140" s="147"/>
      <c r="H140" s="147"/>
      <c r="I140" s="147"/>
    </row>
    <row r="141" spans="1:9" x14ac:dyDescent="0.35">
      <c r="A141" s="150">
        <f>+'36 MESES'!B93</f>
        <v>45716</v>
      </c>
      <c r="B141" s="147"/>
      <c r="C141" s="147"/>
      <c r="D141" s="147"/>
      <c r="E141" s="147"/>
      <c r="F141" s="147"/>
      <c r="G141" s="147"/>
      <c r="H141" s="147"/>
      <c r="I141" s="147"/>
    </row>
    <row r="142" spans="1:9" x14ac:dyDescent="0.35">
      <c r="A142" s="150">
        <f>+'36 MESES'!B94</f>
        <v>45747</v>
      </c>
      <c r="B142" s="147"/>
      <c r="C142" s="147"/>
      <c r="D142" s="147"/>
      <c r="E142" s="147"/>
      <c r="F142" s="147"/>
      <c r="G142" s="147"/>
      <c r="H142" s="147"/>
      <c r="I142" s="147"/>
    </row>
    <row r="143" spans="1:9" x14ac:dyDescent="0.35">
      <c r="A143" s="150">
        <f>+'36 MESES'!B95</f>
        <v>45777</v>
      </c>
      <c r="B143" s="147"/>
      <c r="C143" s="147"/>
      <c r="D143" s="147"/>
      <c r="E143" s="147"/>
      <c r="F143" s="147"/>
      <c r="G143" s="147"/>
      <c r="H143" s="147"/>
      <c r="I143" s="147"/>
    </row>
    <row r="144" spans="1:9" x14ac:dyDescent="0.35">
      <c r="A144" s="150">
        <f>+'36 MESES'!B96</f>
        <v>45807</v>
      </c>
      <c r="B144" s="147"/>
      <c r="C144" s="147"/>
      <c r="D144" s="147"/>
      <c r="E144" s="147"/>
      <c r="F144" s="147"/>
      <c r="G144" s="147"/>
      <c r="H144" s="147"/>
      <c r="I144" s="147"/>
    </row>
    <row r="145" spans="1:9" x14ac:dyDescent="0.35">
      <c r="A145" s="150">
        <f>+'36 MESES'!B97</f>
        <v>45838</v>
      </c>
      <c r="B145" s="147"/>
      <c r="C145" s="147"/>
      <c r="D145" s="147"/>
      <c r="E145" s="147"/>
      <c r="F145" s="147"/>
      <c r="G145" s="147"/>
      <c r="H145" s="147"/>
      <c r="I145" s="147"/>
    </row>
    <row r="146" spans="1:9" x14ac:dyDescent="0.35">
      <c r="A146" s="150">
        <f>+'36 MESES'!B98</f>
        <v>45869</v>
      </c>
      <c r="B146" s="147"/>
      <c r="C146" s="147"/>
      <c r="D146" s="147"/>
      <c r="E146" s="147"/>
      <c r="F146" s="147"/>
      <c r="G146" s="147"/>
      <c r="H146" s="147"/>
      <c r="I146" s="147"/>
    </row>
    <row r="147" spans="1:9" x14ac:dyDescent="0.35">
      <c r="A147" s="150">
        <f>+'36 MESES'!B99</f>
        <v>45898</v>
      </c>
      <c r="B147" s="147"/>
      <c r="C147" s="147"/>
      <c r="D147" s="147"/>
      <c r="E147" s="147"/>
      <c r="F147" s="147"/>
      <c r="G147" s="147"/>
      <c r="H147" s="147"/>
      <c r="I147" s="147"/>
    </row>
    <row r="148" spans="1:9" x14ac:dyDescent="0.35">
      <c r="A148" s="150">
        <f>+'36 MESES'!B100</f>
        <v>45930</v>
      </c>
      <c r="B148" s="147"/>
      <c r="C148" s="147"/>
      <c r="D148" s="147"/>
      <c r="E148" s="147"/>
      <c r="F148" s="147"/>
      <c r="G148" s="147"/>
      <c r="H148" s="147"/>
      <c r="I148" s="147"/>
    </row>
    <row r="149" spans="1:9" x14ac:dyDescent="0.35">
      <c r="A149" s="150">
        <f>+'36 MESES'!B101</f>
        <v>45961</v>
      </c>
      <c r="B149" s="147"/>
      <c r="C149" s="147"/>
      <c r="D149" s="147"/>
      <c r="E149" s="147"/>
      <c r="F149" s="147"/>
      <c r="G149" s="147"/>
      <c r="H149" s="147"/>
      <c r="I149" s="147"/>
    </row>
    <row r="150" spans="1:9" x14ac:dyDescent="0.35">
      <c r="A150" s="150">
        <f>+'36 MESES'!B102</f>
        <v>45989</v>
      </c>
      <c r="B150" s="147"/>
      <c r="C150" s="147"/>
      <c r="D150" s="147"/>
      <c r="E150" s="147"/>
      <c r="F150" s="147"/>
      <c r="G150" s="147"/>
      <c r="H150" s="147"/>
      <c r="I150" s="147"/>
    </row>
    <row r="151" spans="1:9" x14ac:dyDescent="0.35">
      <c r="A151" s="150">
        <f>+'36 MESES'!B103</f>
        <v>46022</v>
      </c>
      <c r="B151" s="147"/>
      <c r="C151" s="147"/>
      <c r="D151" s="147"/>
      <c r="E151" s="147"/>
      <c r="F151" s="147"/>
      <c r="G151" s="147"/>
      <c r="H151" s="147"/>
      <c r="I151" s="147"/>
    </row>
    <row r="152" spans="1:9" x14ac:dyDescent="0.35">
      <c r="A152" s="150">
        <f>+'36 MESES'!B104</f>
        <v>46052</v>
      </c>
      <c r="B152" s="147"/>
      <c r="C152" s="147"/>
      <c r="D152" s="147"/>
      <c r="E152" s="147"/>
      <c r="F152" s="147"/>
      <c r="G152" s="147"/>
      <c r="H152" s="147"/>
      <c r="I152" s="147"/>
    </row>
    <row r="153" spans="1:9" x14ac:dyDescent="0.35">
      <c r="A153" s="150">
        <f>+'36 MESES'!B105</f>
        <v>46080</v>
      </c>
      <c r="B153" s="147"/>
      <c r="C153" s="147"/>
      <c r="D153" s="147"/>
      <c r="E153" s="147"/>
      <c r="F153" s="147"/>
      <c r="G153" s="147"/>
      <c r="H153" s="147"/>
      <c r="I153" s="147"/>
    </row>
    <row r="154" spans="1:9" x14ac:dyDescent="0.35">
      <c r="A154" s="150">
        <f>+'36 MESES'!B106</f>
        <v>46112</v>
      </c>
      <c r="B154" s="147"/>
      <c r="C154" s="147"/>
      <c r="D154" s="147"/>
      <c r="E154" s="147"/>
      <c r="F154" s="147"/>
      <c r="G154" s="147"/>
      <c r="H154" s="147"/>
      <c r="I154" s="147"/>
    </row>
    <row r="155" spans="1:9" x14ac:dyDescent="0.35">
      <c r="A155" s="150">
        <f>+'36 MESES'!B107</f>
        <v>46142</v>
      </c>
      <c r="B155" s="147"/>
      <c r="C155" s="147"/>
      <c r="D155" s="147"/>
      <c r="E155" s="147"/>
      <c r="F155" s="147"/>
      <c r="G155" s="147"/>
      <c r="H155" s="147"/>
      <c r="I155" s="147"/>
    </row>
    <row r="156" spans="1:9" x14ac:dyDescent="0.35">
      <c r="A156" s="1"/>
      <c r="B156" s="1"/>
      <c r="C156" s="1"/>
      <c r="D156" s="1"/>
      <c r="E156" s="1"/>
      <c r="F156" s="1"/>
      <c r="G156" s="1"/>
      <c r="H156" s="1"/>
      <c r="I156" s="1"/>
    </row>
    <row r="157" spans="1:9" x14ac:dyDescent="0.35">
      <c r="A157" s="1"/>
      <c r="B157" s="1"/>
      <c r="C157" s="1"/>
      <c r="D157" s="1"/>
      <c r="E157" s="1"/>
      <c r="F157" s="1"/>
      <c r="G157" s="1"/>
      <c r="H157" s="1"/>
      <c r="I157" s="1"/>
    </row>
    <row r="158" spans="1:9" x14ac:dyDescent="0.35">
      <c r="A158" s="1"/>
      <c r="B158" s="1"/>
      <c r="C158" s="1"/>
      <c r="D158" s="1"/>
      <c r="E158" s="1"/>
      <c r="F158" s="1"/>
      <c r="G158" s="1"/>
      <c r="H158" s="1"/>
      <c r="I158" s="1"/>
    </row>
    <row r="159" spans="1:9" x14ac:dyDescent="0.35">
      <c r="A159" s="1"/>
      <c r="B159" s="1"/>
      <c r="C159" s="1"/>
      <c r="D159" s="1"/>
      <c r="E159" s="1"/>
      <c r="F159" s="1"/>
      <c r="G159" s="1"/>
      <c r="H159" s="1"/>
      <c r="I159" s="1"/>
    </row>
    <row r="160" spans="1:9" x14ac:dyDescent="0.35">
      <c r="A160" s="1"/>
      <c r="B160" s="1"/>
      <c r="C160" s="1"/>
      <c r="D160" s="1"/>
      <c r="E160" s="1"/>
      <c r="F160" s="1"/>
      <c r="G160" s="1"/>
      <c r="H160" s="1"/>
      <c r="I160" s="1"/>
    </row>
    <row r="161" spans="1:9" x14ac:dyDescent="0.35">
      <c r="A161" s="1"/>
      <c r="B161" s="1"/>
      <c r="C161" s="1"/>
      <c r="D161" s="1"/>
      <c r="E161" s="1"/>
      <c r="F161" s="1"/>
      <c r="G161" s="1"/>
      <c r="H161" s="1"/>
      <c r="I161" s="1"/>
    </row>
    <row r="162" spans="1:9" x14ac:dyDescent="0.35">
      <c r="A162" s="1"/>
      <c r="B162" s="1"/>
      <c r="C162" s="1"/>
      <c r="D162" s="1"/>
      <c r="E162" s="1"/>
      <c r="F162" s="1"/>
      <c r="G162" s="1"/>
      <c r="H162" s="1"/>
      <c r="I162" s="1"/>
    </row>
    <row r="163" spans="1:9" x14ac:dyDescent="0.35">
      <c r="A163" s="1"/>
      <c r="B163" s="1"/>
      <c r="C163" s="1"/>
      <c r="D163" s="1"/>
      <c r="E163" s="1"/>
      <c r="F163" s="1"/>
      <c r="G163" s="1"/>
      <c r="H163" s="1"/>
      <c r="I163" s="1"/>
    </row>
  </sheetData>
  <sheetProtection algorithmName="SHA-512" hashValue="r9U7ty/ZZEWmlyvpgun4OHHYrj0rK6TrlMXZ3q8gcfgDr3Tp9GCdFmMHWo3hwqRfFcB09Mzn2bNhbMZaA+l1iQ==" saltValue="s/jTKtc7mhmAipoqzQkrlA==" spinCount="100000" sheet="1" objects="1" scenarios="1" selectLockedCells="1"/>
  <mergeCells count="8">
    <mergeCell ref="F34:F35"/>
    <mergeCell ref="F16:F17"/>
    <mergeCell ref="D25:E25"/>
    <mergeCell ref="D8:E8"/>
    <mergeCell ref="D10:D11"/>
    <mergeCell ref="E10:E11"/>
    <mergeCell ref="D27:D28"/>
    <mergeCell ref="E27:E28"/>
  </mergeCells>
  <dataValidations count="2">
    <dataValidation type="list" allowBlank="1" showInputMessage="1" showErrorMessage="1" sqref="B10:B11" xr:uid="{64DD89CC-4E86-4D37-93A5-695BD9F51303}">
      <formula1>$A$119:$A$155</formula1>
    </dataValidation>
    <dataValidation type="list" allowBlank="1" showInputMessage="1" showErrorMessage="1" sqref="B9" xr:uid="{1AB9A180-A814-4FC1-82BA-0272F5917104}">
      <formula1>$A$61:$A$115</formula1>
    </dataValidation>
  </dataValidations>
  <pageMargins left="0.7" right="0.7" top="0.75" bottom="0.75" header="0.3" footer="0.3"/>
  <pageSetup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K208"/>
  <sheetViews>
    <sheetView topLeftCell="A211" workbookViewId="0">
      <pane ySplit="1" topLeftCell="A212" activePane="bottomLeft" state="frozen"/>
      <selection activeCell="A211" sqref="A211"/>
      <selection pane="bottomLeft" activeCell="A212" sqref="A212"/>
    </sheetView>
  </sheetViews>
  <sheetFormatPr baseColWidth="10" defaultColWidth="11.453125" defaultRowHeight="14.5" x14ac:dyDescent="0.35"/>
  <cols>
    <col min="1" max="1" width="15.26953125" style="211" customWidth="1"/>
    <col min="2" max="3" width="14.54296875" style="211" bestFit="1" customWidth="1"/>
    <col min="4" max="4" width="15.26953125" style="211" bestFit="1" customWidth="1"/>
    <col min="5" max="5" width="14.26953125" style="211" bestFit="1" customWidth="1"/>
    <col min="6" max="6" width="16.26953125" style="211" customWidth="1"/>
    <col min="7" max="7" width="15" style="211" bestFit="1" customWidth="1"/>
    <col min="8" max="10" width="13.7265625" style="211" bestFit="1" customWidth="1"/>
    <col min="11" max="11" width="15" style="211" customWidth="1"/>
    <col min="12" max="13" width="14.453125" style="211" bestFit="1" customWidth="1"/>
    <col min="14" max="15" width="14.54296875" style="211" bestFit="1" customWidth="1"/>
    <col min="16" max="16" width="15.26953125" style="211" bestFit="1" customWidth="1"/>
    <col min="17" max="18" width="14.453125" style="211" bestFit="1" customWidth="1"/>
    <col min="19" max="19" width="15.1796875" style="211" bestFit="1" customWidth="1"/>
    <col min="20" max="20" width="13.7265625" style="211" bestFit="1" customWidth="1"/>
    <col min="21" max="21" width="13.54296875" style="211" bestFit="1" customWidth="1"/>
    <col min="22" max="24" width="14.54296875" style="211" bestFit="1" customWidth="1"/>
    <col min="25" max="25" width="13.7265625" style="211" bestFit="1" customWidth="1"/>
    <col min="26" max="26" width="15.54296875" style="211" customWidth="1"/>
    <col min="27" max="27" width="13.453125" style="211" bestFit="1" customWidth="1"/>
    <col min="28" max="28" width="13.54296875" style="211" bestFit="1" customWidth="1"/>
    <col min="29" max="30" width="14" style="211" bestFit="1" customWidth="1"/>
    <col min="31" max="31" width="14.7265625" style="211" bestFit="1" customWidth="1"/>
    <col min="32" max="32" width="14.54296875" style="211" bestFit="1" customWidth="1"/>
    <col min="33" max="33" width="13.26953125" style="211" bestFit="1" customWidth="1"/>
    <col min="34" max="35" width="12.81640625" style="211" bestFit="1" customWidth="1"/>
    <col min="36" max="36" width="13.54296875" style="211" bestFit="1" customWidth="1"/>
    <col min="37" max="37" width="13" style="211" bestFit="1" customWidth="1"/>
    <col min="38" max="38" width="14" style="211" bestFit="1" customWidth="1"/>
    <col min="39" max="39" width="12.81640625" style="211" customWidth="1"/>
    <col min="40" max="41" width="14" style="211" bestFit="1" customWidth="1"/>
    <col min="42" max="42" width="12" style="211" customWidth="1"/>
    <col min="43" max="43" width="14.26953125" style="211" bestFit="1" customWidth="1"/>
    <col min="44" max="47" width="14.1796875" style="211" bestFit="1" customWidth="1"/>
    <col min="48" max="52" width="14.1796875" style="211" customWidth="1"/>
    <col min="53" max="53" width="11" style="211" customWidth="1"/>
    <col min="54" max="113" width="14.1796875" style="211" customWidth="1"/>
    <col min="114" max="114" width="14.26953125" style="242" bestFit="1" customWidth="1"/>
    <col min="115" max="115" width="14.1796875" style="211" customWidth="1"/>
    <col min="116" max="118" width="12" style="211" customWidth="1"/>
    <col min="119" max="120" width="14.453125" style="211" customWidth="1"/>
    <col min="121" max="121" width="13.453125" style="211" customWidth="1"/>
    <col min="122" max="122" width="12" style="211" customWidth="1"/>
    <col min="123" max="123" width="11.453125" style="211"/>
    <col min="124" max="124" width="10" style="243" bestFit="1" customWidth="1"/>
    <col min="125" max="128" width="14.1796875" style="211" customWidth="1"/>
    <col min="129" max="129" width="12.26953125" style="211" customWidth="1"/>
    <col min="130" max="16384" width="11.453125" style="211"/>
  </cols>
  <sheetData>
    <row r="2" spans="1:133" s="212" customFormat="1" ht="46" x14ac:dyDescent="0.25">
      <c r="B2" s="213" t="s">
        <v>223</v>
      </c>
      <c r="C2" s="213" t="s">
        <v>0</v>
      </c>
      <c r="D2" s="213" t="s">
        <v>1</v>
      </c>
      <c r="E2" s="213" t="s">
        <v>224</v>
      </c>
      <c r="F2" s="213" t="s">
        <v>151</v>
      </c>
      <c r="G2" s="213" t="s">
        <v>152</v>
      </c>
      <c r="H2" s="213" t="s">
        <v>2</v>
      </c>
      <c r="I2" s="213" t="s">
        <v>150</v>
      </c>
      <c r="J2" s="213" t="s">
        <v>230</v>
      </c>
      <c r="K2" s="213" t="s">
        <v>15</v>
      </c>
      <c r="L2" s="213" t="s">
        <v>231</v>
      </c>
      <c r="M2" s="213" t="s">
        <v>298</v>
      </c>
      <c r="N2" s="213" t="s">
        <v>3</v>
      </c>
      <c r="O2" s="213" t="s">
        <v>194</v>
      </c>
      <c r="P2" s="213" t="s">
        <v>4</v>
      </c>
      <c r="Q2" s="213" t="s">
        <v>232</v>
      </c>
      <c r="R2" s="213" t="s">
        <v>153</v>
      </c>
      <c r="S2" s="213" t="s">
        <v>154</v>
      </c>
      <c r="T2" s="213" t="s">
        <v>5</v>
      </c>
      <c r="U2" s="213" t="s">
        <v>195</v>
      </c>
      <c r="V2" s="213" t="s">
        <v>155</v>
      </c>
      <c r="W2" s="213" t="s">
        <v>233</v>
      </c>
      <c r="X2" s="213" t="s">
        <v>6</v>
      </c>
      <c r="Y2" s="213" t="s">
        <v>7</v>
      </c>
      <c r="Z2" s="213" t="s">
        <v>8</v>
      </c>
      <c r="AA2" s="213" t="s">
        <v>9</v>
      </c>
      <c r="AB2" s="213" t="s">
        <v>234</v>
      </c>
      <c r="AC2" s="213" t="s">
        <v>156</v>
      </c>
      <c r="AD2" s="213" t="s">
        <v>157</v>
      </c>
      <c r="AE2" s="213" t="s">
        <v>10</v>
      </c>
      <c r="AF2" s="213" t="s">
        <v>11</v>
      </c>
      <c r="AG2" s="213" t="s">
        <v>158</v>
      </c>
      <c r="AH2" s="213" t="s">
        <v>235</v>
      </c>
      <c r="AI2" s="213" t="s">
        <v>12</v>
      </c>
      <c r="AJ2" s="213" t="s">
        <v>13</v>
      </c>
      <c r="AK2" s="213" t="s">
        <v>236</v>
      </c>
      <c r="AL2" s="213" t="s">
        <v>161</v>
      </c>
      <c r="AM2" s="213" t="s">
        <v>160</v>
      </c>
      <c r="AN2" s="213" t="s">
        <v>14</v>
      </c>
      <c r="AO2" s="213" t="s">
        <v>159</v>
      </c>
      <c r="AP2" s="213" t="s">
        <v>237</v>
      </c>
      <c r="AQ2" s="213" t="s">
        <v>162</v>
      </c>
      <c r="AR2" s="213" t="s">
        <v>128</v>
      </c>
      <c r="AS2" s="213" t="s">
        <v>130</v>
      </c>
      <c r="AT2" s="213" t="s">
        <v>131</v>
      </c>
      <c r="AU2" s="213" t="s">
        <v>129</v>
      </c>
      <c r="AV2" s="213" t="s">
        <v>238</v>
      </c>
      <c r="AW2" s="213" t="s">
        <v>146</v>
      </c>
      <c r="AX2" s="213" t="s">
        <v>147</v>
      </c>
      <c r="AY2" s="213" t="s">
        <v>165</v>
      </c>
      <c r="AZ2" s="213" t="s">
        <v>148</v>
      </c>
      <c r="BA2" s="213" t="s">
        <v>149</v>
      </c>
      <c r="BB2" s="214"/>
      <c r="BC2" s="213" t="s">
        <v>225</v>
      </c>
      <c r="BD2" s="213" t="s">
        <v>84</v>
      </c>
      <c r="BE2" s="213" t="s">
        <v>85</v>
      </c>
      <c r="BF2" s="213" t="s">
        <v>88</v>
      </c>
      <c r="BG2" s="213" t="s">
        <v>89</v>
      </c>
      <c r="BH2" s="213" t="s">
        <v>90</v>
      </c>
      <c r="BI2" s="213" t="s">
        <v>86</v>
      </c>
      <c r="BJ2" s="213" t="s">
        <v>87</v>
      </c>
      <c r="BK2" s="213" t="s">
        <v>92</v>
      </c>
      <c r="BL2" s="213" t="s">
        <v>93</v>
      </c>
      <c r="BM2" s="213" t="s">
        <v>94</v>
      </c>
      <c r="BN2" s="213" t="s">
        <v>91</v>
      </c>
      <c r="BO2" s="213" t="s">
        <v>226</v>
      </c>
      <c r="BP2" s="213" t="s">
        <v>114</v>
      </c>
      <c r="BQ2" s="213" t="s">
        <v>115</v>
      </c>
      <c r="BR2" s="213" t="s">
        <v>118</v>
      </c>
      <c r="BS2" s="213" t="s">
        <v>119</v>
      </c>
      <c r="BT2" s="213" t="s">
        <v>120</v>
      </c>
      <c r="BU2" s="213" t="s">
        <v>116</v>
      </c>
      <c r="BV2" s="213" t="s">
        <v>117</v>
      </c>
      <c r="BW2" s="213" t="s">
        <v>122</v>
      </c>
      <c r="BX2" s="213" t="s">
        <v>123</v>
      </c>
      <c r="BY2" s="213" t="s">
        <v>124</v>
      </c>
      <c r="BZ2" s="213" t="s">
        <v>121</v>
      </c>
      <c r="CA2" s="213" t="s">
        <v>227</v>
      </c>
      <c r="CB2" s="213" t="s">
        <v>140</v>
      </c>
      <c r="CC2" s="213" t="s">
        <v>134</v>
      </c>
      <c r="CD2" s="213" t="s">
        <v>139</v>
      </c>
      <c r="CE2" s="213" t="s">
        <v>135</v>
      </c>
      <c r="CF2" s="213" t="s">
        <v>136</v>
      </c>
      <c r="CG2" s="213" t="s">
        <v>137</v>
      </c>
      <c r="CH2" s="213" t="s">
        <v>138</v>
      </c>
      <c r="CI2" s="213" t="s">
        <v>229</v>
      </c>
      <c r="CJ2" s="213" t="s">
        <v>95</v>
      </c>
      <c r="CK2" s="213" t="s">
        <v>96</v>
      </c>
      <c r="CL2" s="213" t="s">
        <v>99</v>
      </c>
      <c r="CM2" s="213" t="s">
        <v>100</v>
      </c>
      <c r="CN2" s="213" t="s">
        <v>101</v>
      </c>
      <c r="CO2" s="213" t="s">
        <v>97</v>
      </c>
      <c r="CP2" s="213" t="s">
        <v>98</v>
      </c>
      <c r="CQ2" s="213" t="s">
        <v>103</v>
      </c>
      <c r="CR2" s="213" t="s">
        <v>104</v>
      </c>
      <c r="CS2" s="213" t="s">
        <v>105</v>
      </c>
      <c r="CT2" s="213" t="s">
        <v>102</v>
      </c>
      <c r="CU2" s="213" t="s">
        <v>266</v>
      </c>
      <c r="CV2" s="213" t="s">
        <v>141</v>
      </c>
      <c r="CW2" s="213" t="s">
        <v>143</v>
      </c>
      <c r="CX2" s="213" t="s">
        <v>144</v>
      </c>
      <c r="CY2" s="213" t="s">
        <v>142</v>
      </c>
      <c r="CZ2" s="213" t="s">
        <v>145</v>
      </c>
      <c r="DA2" s="213" t="s">
        <v>265</v>
      </c>
      <c r="DB2" s="213" t="s">
        <v>132</v>
      </c>
      <c r="DC2" s="213" t="s">
        <v>228</v>
      </c>
      <c r="DD2" s="213" t="s">
        <v>214</v>
      </c>
      <c r="DE2" s="213" t="s">
        <v>215</v>
      </c>
      <c r="DF2" s="213" t="s">
        <v>216</v>
      </c>
      <c r="DG2" s="213" t="s">
        <v>217</v>
      </c>
      <c r="DH2" s="213" t="s">
        <v>218</v>
      </c>
      <c r="DI2" s="213" t="s">
        <v>219</v>
      </c>
      <c r="DJ2" s="213" t="s">
        <v>220</v>
      </c>
      <c r="DK2" s="215"/>
      <c r="DL2" s="213" t="s">
        <v>18</v>
      </c>
      <c r="DM2" s="216" t="s">
        <v>175</v>
      </c>
      <c r="DN2" s="216" t="s">
        <v>174</v>
      </c>
      <c r="DO2" s="216" t="s">
        <v>176</v>
      </c>
      <c r="DP2" s="217"/>
      <c r="DQ2" s="217"/>
      <c r="DR2" s="218"/>
      <c r="DS2" s="218"/>
      <c r="DU2" s="219"/>
      <c r="DV2" s="213" t="s">
        <v>16</v>
      </c>
      <c r="DW2" s="213" t="s">
        <v>271</v>
      </c>
      <c r="DX2" s="213" t="s">
        <v>112</v>
      </c>
      <c r="DY2" s="213" t="s">
        <v>272</v>
      </c>
      <c r="DZ2" s="213" t="s">
        <v>210</v>
      </c>
    </row>
    <row r="3" spans="1:133" ht="15" thickBot="1" x14ac:dyDescent="0.4">
      <c r="A3" s="211" t="s">
        <v>62</v>
      </c>
      <c r="B3" s="220">
        <v>2</v>
      </c>
      <c r="C3" s="220">
        <v>3</v>
      </c>
      <c r="D3" s="220">
        <v>4</v>
      </c>
      <c r="E3" s="220">
        <v>5</v>
      </c>
      <c r="F3" s="220">
        <v>6</v>
      </c>
      <c r="G3" s="220">
        <v>7</v>
      </c>
      <c r="H3" s="220">
        <v>8</v>
      </c>
      <c r="I3" s="220">
        <v>9</v>
      </c>
      <c r="J3" s="220">
        <v>62</v>
      </c>
      <c r="K3" s="220">
        <v>63</v>
      </c>
      <c r="L3" s="220">
        <v>72</v>
      </c>
      <c r="M3" s="220">
        <v>73</v>
      </c>
      <c r="N3" s="220">
        <v>74</v>
      </c>
      <c r="O3" s="220">
        <v>75</v>
      </c>
      <c r="P3" s="220">
        <v>76</v>
      </c>
      <c r="Q3" s="220">
        <v>77</v>
      </c>
      <c r="R3" s="220">
        <v>78</v>
      </c>
      <c r="S3" s="220">
        <v>79</v>
      </c>
      <c r="T3" s="220">
        <v>80</v>
      </c>
      <c r="U3" s="220">
        <v>81</v>
      </c>
      <c r="V3" s="220">
        <v>82</v>
      </c>
      <c r="W3" s="220">
        <v>83</v>
      </c>
      <c r="X3" s="220">
        <v>84</v>
      </c>
      <c r="Y3" s="220">
        <v>85</v>
      </c>
      <c r="Z3" s="220">
        <v>86</v>
      </c>
      <c r="AA3" s="220">
        <v>87</v>
      </c>
      <c r="AB3" s="220">
        <v>88</v>
      </c>
      <c r="AC3" s="220">
        <v>89</v>
      </c>
      <c r="AD3" s="220">
        <v>90</v>
      </c>
      <c r="AE3" s="220">
        <v>91</v>
      </c>
      <c r="AF3" s="220">
        <v>92</v>
      </c>
      <c r="AG3" s="220">
        <v>93</v>
      </c>
      <c r="AH3" s="220">
        <v>94</v>
      </c>
      <c r="AI3" s="220">
        <v>95</v>
      </c>
      <c r="AJ3" s="220">
        <v>96</v>
      </c>
      <c r="AK3" s="220">
        <v>97</v>
      </c>
      <c r="AL3" s="220">
        <v>98</v>
      </c>
      <c r="AM3" s="220">
        <v>99</v>
      </c>
      <c r="AN3" s="220">
        <v>100</v>
      </c>
      <c r="AO3" s="220">
        <v>101</v>
      </c>
      <c r="AP3" s="220">
        <v>102</v>
      </c>
      <c r="AQ3" s="220">
        <v>103</v>
      </c>
      <c r="AR3" s="220">
        <v>104</v>
      </c>
      <c r="AS3" s="220">
        <v>105</v>
      </c>
      <c r="AT3" s="220">
        <v>106</v>
      </c>
      <c r="AU3" s="220">
        <v>107</v>
      </c>
      <c r="AV3" s="220">
        <v>108</v>
      </c>
      <c r="AW3" s="220">
        <v>109</v>
      </c>
      <c r="AX3" s="220">
        <v>110</v>
      </c>
      <c r="AY3" s="220">
        <v>111</v>
      </c>
      <c r="AZ3" s="220">
        <v>112</v>
      </c>
      <c r="BA3" s="220">
        <v>113</v>
      </c>
      <c r="BB3" s="221"/>
      <c r="BC3" s="220">
        <v>10</v>
      </c>
      <c r="BD3" s="220">
        <v>11</v>
      </c>
      <c r="BE3" s="220">
        <v>12</v>
      </c>
      <c r="BF3" s="220">
        <v>13</v>
      </c>
      <c r="BG3" s="220">
        <v>14</v>
      </c>
      <c r="BH3" s="220">
        <v>15</v>
      </c>
      <c r="BI3" s="220">
        <v>16</v>
      </c>
      <c r="BJ3" s="220">
        <v>17</v>
      </c>
      <c r="BK3" s="220">
        <v>18</v>
      </c>
      <c r="BL3" s="220">
        <v>19</v>
      </c>
      <c r="BM3" s="220">
        <v>20</v>
      </c>
      <c r="BN3" s="220">
        <v>21</v>
      </c>
      <c r="BO3" s="220">
        <v>22</v>
      </c>
      <c r="BP3" s="220">
        <v>23</v>
      </c>
      <c r="BQ3" s="220">
        <v>24</v>
      </c>
      <c r="BR3" s="220">
        <v>25</v>
      </c>
      <c r="BS3" s="220">
        <v>26</v>
      </c>
      <c r="BT3" s="220">
        <v>27</v>
      </c>
      <c r="BU3" s="220">
        <v>28</v>
      </c>
      <c r="BV3" s="220">
        <v>29</v>
      </c>
      <c r="BW3" s="220">
        <v>30</v>
      </c>
      <c r="BX3" s="220">
        <v>31</v>
      </c>
      <c r="BY3" s="220">
        <v>32</v>
      </c>
      <c r="BZ3" s="220">
        <v>33</v>
      </c>
      <c r="CA3" s="220">
        <v>34</v>
      </c>
      <c r="CB3" s="220">
        <v>35</v>
      </c>
      <c r="CC3" s="220">
        <v>36</v>
      </c>
      <c r="CD3" s="220">
        <v>37</v>
      </c>
      <c r="CE3" s="220">
        <v>38</v>
      </c>
      <c r="CF3" s="220">
        <v>39</v>
      </c>
      <c r="CG3" s="220">
        <v>40</v>
      </c>
      <c r="CH3" s="220">
        <v>41</v>
      </c>
      <c r="CI3" s="220">
        <v>50</v>
      </c>
      <c r="CJ3" s="220">
        <v>51</v>
      </c>
      <c r="CK3" s="220">
        <v>52</v>
      </c>
      <c r="CL3" s="220">
        <v>53</v>
      </c>
      <c r="CM3" s="220">
        <v>54</v>
      </c>
      <c r="CN3" s="220">
        <v>55</v>
      </c>
      <c r="CO3" s="220">
        <v>56</v>
      </c>
      <c r="CP3" s="220">
        <v>57</v>
      </c>
      <c r="CQ3" s="220">
        <v>58</v>
      </c>
      <c r="CR3" s="220">
        <v>59</v>
      </c>
      <c r="CS3" s="220">
        <v>60</v>
      </c>
      <c r="CT3" s="220">
        <v>61</v>
      </c>
      <c r="CU3" s="220">
        <v>64</v>
      </c>
      <c r="CV3" s="220">
        <v>65</v>
      </c>
      <c r="CW3" s="220">
        <v>68</v>
      </c>
      <c r="CX3" s="220">
        <v>69</v>
      </c>
      <c r="CY3" s="220">
        <v>70</v>
      </c>
      <c r="CZ3" s="220">
        <v>71</v>
      </c>
      <c r="DA3" s="220">
        <v>67</v>
      </c>
      <c r="DB3" s="220">
        <v>66</v>
      </c>
      <c r="DC3" s="220">
        <v>42</v>
      </c>
      <c r="DD3" s="220">
        <v>43</v>
      </c>
      <c r="DE3" s="220">
        <v>44</v>
      </c>
      <c r="DF3" s="220">
        <v>45</v>
      </c>
      <c r="DG3" s="220">
        <v>46</v>
      </c>
      <c r="DH3" s="220">
        <v>47</v>
      </c>
      <c r="DI3" s="220">
        <v>48</v>
      </c>
      <c r="DJ3" s="220">
        <v>49</v>
      </c>
      <c r="DK3" s="222"/>
      <c r="DL3" s="220">
        <v>135</v>
      </c>
      <c r="DM3" s="223">
        <v>7</v>
      </c>
      <c r="DN3" s="223">
        <v>12</v>
      </c>
      <c r="DO3" s="223">
        <v>14</v>
      </c>
      <c r="DP3" s="220"/>
      <c r="DQ3" s="223">
        <v>22</v>
      </c>
      <c r="DR3" s="223">
        <v>19</v>
      </c>
      <c r="DS3" s="224">
        <v>7</v>
      </c>
      <c r="DT3" s="224">
        <v>5</v>
      </c>
      <c r="DU3" s="225"/>
      <c r="DV3" s="220">
        <v>136</v>
      </c>
      <c r="DW3" s="220">
        <v>137</v>
      </c>
      <c r="DX3" s="220">
        <v>138</v>
      </c>
      <c r="DY3" s="220">
        <v>139</v>
      </c>
      <c r="DZ3" s="220">
        <v>140</v>
      </c>
    </row>
    <row r="4" spans="1:133" s="226" customFormat="1" ht="46.5" thickBot="1" x14ac:dyDescent="0.4">
      <c r="B4" s="227" t="s">
        <v>223</v>
      </c>
      <c r="C4" s="227" t="s">
        <v>0</v>
      </c>
      <c r="D4" s="227" t="s">
        <v>1</v>
      </c>
      <c r="E4" s="227" t="s">
        <v>224</v>
      </c>
      <c r="F4" s="227" t="s">
        <v>151</v>
      </c>
      <c r="G4" s="227" t="s">
        <v>152</v>
      </c>
      <c r="H4" s="227" t="s">
        <v>2</v>
      </c>
      <c r="I4" s="227" t="s">
        <v>150</v>
      </c>
      <c r="J4" s="227" t="s">
        <v>230</v>
      </c>
      <c r="K4" s="227" t="s">
        <v>15</v>
      </c>
      <c r="L4" s="227" t="s">
        <v>231</v>
      </c>
      <c r="M4" s="227" t="s">
        <v>298</v>
      </c>
      <c r="N4" s="227" t="s">
        <v>3</v>
      </c>
      <c r="O4" s="227" t="s">
        <v>194</v>
      </c>
      <c r="P4" s="227" t="s">
        <v>4</v>
      </c>
      <c r="Q4" s="227" t="s">
        <v>232</v>
      </c>
      <c r="R4" s="227" t="s">
        <v>153</v>
      </c>
      <c r="S4" s="227" t="s">
        <v>154</v>
      </c>
      <c r="T4" s="227" t="s">
        <v>5</v>
      </c>
      <c r="U4" s="227" t="s">
        <v>195</v>
      </c>
      <c r="V4" s="227" t="s">
        <v>155</v>
      </c>
      <c r="W4" s="227" t="s">
        <v>233</v>
      </c>
      <c r="X4" s="227" t="s">
        <v>6</v>
      </c>
      <c r="Y4" s="227" t="s">
        <v>7</v>
      </c>
      <c r="Z4" s="227" t="s">
        <v>8</v>
      </c>
      <c r="AA4" s="227" t="s">
        <v>9</v>
      </c>
      <c r="AB4" s="227" t="s">
        <v>234</v>
      </c>
      <c r="AC4" s="227" t="s">
        <v>156</v>
      </c>
      <c r="AD4" s="227" t="s">
        <v>157</v>
      </c>
      <c r="AE4" s="227" t="s">
        <v>10</v>
      </c>
      <c r="AF4" s="227" t="s">
        <v>11</v>
      </c>
      <c r="AG4" s="227" t="s">
        <v>158</v>
      </c>
      <c r="AH4" s="227" t="s">
        <v>235</v>
      </c>
      <c r="AI4" s="227" t="s">
        <v>12</v>
      </c>
      <c r="AJ4" s="227" t="s">
        <v>13</v>
      </c>
      <c r="AK4" s="227" t="s">
        <v>236</v>
      </c>
      <c r="AL4" s="227" t="s">
        <v>161</v>
      </c>
      <c r="AM4" s="227" t="s">
        <v>160</v>
      </c>
      <c r="AN4" s="227" t="s">
        <v>14</v>
      </c>
      <c r="AO4" s="227" t="s">
        <v>159</v>
      </c>
      <c r="AP4" s="227" t="s">
        <v>237</v>
      </c>
      <c r="AQ4" s="227" t="s">
        <v>162</v>
      </c>
      <c r="AR4" s="227" t="s">
        <v>128</v>
      </c>
      <c r="AS4" s="227" t="s">
        <v>130</v>
      </c>
      <c r="AT4" s="227" t="s">
        <v>131</v>
      </c>
      <c r="AU4" s="227" t="s">
        <v>129</v>
      </c>
      <c r="AV4" s="227" t="s">
        <v>238</v>
      </c>
      <c r="AW4" s="227" t="s">
        <v>146</v>
      </c>
      <c r="AX4" s="227" t="s">
        <v>147</v>
      </c>
      <c r="AY4" s="227" t="s">
        <v>165</v>
      </c>
      <c r="AZ4" s="227" t="s">
        <v>148</v>
      </c>
      <c r="BA4" s="227" t="s">
        <v>149</v>
      </c>
      <c r="BB4" s="228"/>
      <c r="BC4" s="227" t="s">
        <v>225</v>
      </c>
      <c r="BD4" s="227" t="s">
        <v>84</v>
      </c>
      <c r="BE4" s="227" t="s">
        <v>85</v>
      </c>
      <c r="BF4" s="227" t="s">
        <v>88</v>
      </c>
      <c r="BG4" s="227" t="s">
        <v>89</v>
      </c>
      <c r="BH4" s="227" t="s">
        <v>90</v>
      </c>
      <c r="BI4" s="227" t="s">
        <v>86</v>
      </c>
      <c r="BJ4" s="227" t="s">
        <v>87</v>
      </c>
      <c r="BK4" s="227" t="s">
        <v>92</v>
      </c>
      <c r="BL4" s="227" t="s">
        <v>93</v>
      </c>
      <c r="BM4" s="227" t="s">
        <v>94</v>
      </c>
      <c r="BN4" s="227" t="s">
        <v>91</v>
      </c>
      <c r="BO4" s="227" t="s">
        <v>226</v>
      </c>
      <c r="BP4" s="227" t="s">
        <v>114</v>
      </c>
      <c r="BQ4" s="227" t="s">
        <v>115</v>
      </c>
      <c r="BR4" s="227" t="s">
        <v>118</v>
      </c>
      <c r="BS4" s="227" t="s">
        <v>119</v>
      </c>
      <c r="BT4" s="227" t="s">
        <v>120</v>
      </c>
      <c r="BU4" s="227" t="s">
        <v>116</v>
      </c>
      <c r="BV4" s="227" t="s">
        <v>117</v>
      </c>
      <c r="BW4" s="227" t="s">
        <v>122</v>
      </c>
      <c r="BX4" s="227" t="s">
        <v>123</v>
      </c>
      <c r="BY4" s="227" t="s">
        <v>124</v>
      </c>
      <c r="BZ4" s="227" t="s">
        <v>121</v>
      </c>
      <c r="CA4" s="227" t="s">
        <v>227</v>
      </c>
      <c r="CB4" s="227" t="s">
        <v>140</v>
      </c>
      <c r="CC4" s="227" t="s">
        <v>134</v>
      </c>
      <c r="CD4" s="227" t="s">
        <v>139</v>
      </c>
      <c r="CE4" s="227" t="s">
        <v>135</v>
      </c>
      <c r="CF4" s="227" t="s">
        <v>136</v>
      </c>
      <c r="CG4" s="227" t="s">
        <v>137</v>
      </c>
      <c r="CH4" s="227" t="s">
        <v>138</v>
      </c>
      <c r="CI4" s="227" t="s">
        <v>229</v>
      </c>
      <c r="CJ4" s="227" t="s">
        <v>95</v>
      </c>
      <c r="CK4" s="227" t="s">
        <v>96</v>
      </c>
      <c r="CL4" s="227" t="s">
        <v>99</v>
      </c>
      <c r="CM4" s="227" t="s">
        <v>100</v>
      </c>
      <c r="CN4" s="227" t="s">
        <v>101</v>
      </c>
      <c r="CO4" s="227" t="s">
        <v>97</v>
      </c>
      <c r="CP4" s="227" t="s">
        <v>98</v>
      </c>
      <c r="CQ4" s="227" t="s">
        <v>103</v>
      </c>
      <c r="CR4" s="227" t="s">
        <v>104</v>
      </c>
      <c r="CS4" s="227" t="s">
        <v>105</v>
      </c>
      <c r="CT4" s="227" t="s">
        <v>102</v>
      </c>
      <c r="CU4" s="227" t="s">
        <v>266</v>
      </c>
      <c r="CV4" s="227" t="s">
        <v>141</v>
      </c>
      <c r="CW4" s="227" t="s">
        <v>143</v>
      </c>
      <c r="CX4" s="227" t="s">
        <v>144</v>
      </c>
      <c r="CY4" s="227" t="s">
        <v>142</v>
      </c>
      <c r="CZ4" s="227" t="s">
        <v>145</v>
      </c>
      <c r="DA4" s="227" t="s">
        <v>265</v>
      </c>
      <c r="DB4" s="227" t="s">
        <v>132</v>
      </c>
      <c r="DC4" s="227" t="s">
        <v>228</v>
      </c>
      <c r="DD4" s="227" t="s">
        <v>214</v>
      </c>
      <c r="DE4" s="227" t="s">
        <v>215</v>
      </c>
      <c r="DF4" s="227" t="s">
        <v>216</v>
      </c>
      <c r="DG4" s="227" t="s">
        <v>217</v>
      </c>
      <c r="DH4" s="227" t="s">
        <v>218</v>
      </c>
      <c r="DI4" s="227" t="s">
        <v>219</v>
      </c>
      <c r="DJ4" s="227" t="s">
        <v>220</v>
      </c>
      <c r="DK4" s="229"/>
      <c r="DL4" s="230" t="s">
        <v>18</v>
      </c>
      <c r="DM4" s="230" t="s">
        <v>175</v>
      </c>
      <c r="DN4" s="230" t="s">
        <v>174</v>
      </c>
      <c r="DO4" s="230" t="s">
        <v>176</v>
      </c>
      <c r="DP4" s="230" t="s">
        <v>61</v>
      </c>
      <c r="DQ4" s="230" t="s">
        <v>188</v>
      </c>
      <c r="DR4" s="230" t="s">
        <v>189</v>
      </c>
      <c r="DS4" s="230" t="s">
        <v>76</v>
      </c>
      <c r="DT4" s="230" t="s">
        <v>77</v>
      </c>
      <c r="DU4" s="231"/>
      <c r="DV4" s="232" t="s">
        <v>16</v>
      </c>
      <c r="DW4" s="232" t="s">
        <v>271</v>
      </c>
      <c r="DX4" s="232" t="s">
        <v>112</v>
      </c>
      <c r="DY4" s="232" t="s">
        <v>272</v>
      </c>
      <c r="DZ4" s="232" t="s">
        <v>210</v>
      </c>
      <c r="EB4" s="226" t="s">
        <v>167</v>
      </c>
      <c r="EC4" s="226" t="s">
        <v>168</v>
      </c>
    </row>
    <row r="5" spans="1:133" x14ac:dyDescent="0.35">
      <c r="A5" s="233">
        <v>43465</v>
      </c>
      <c r="B5" s="234">
        <v>2.6114130000000002</v>
      </c>
      <c r="C5" s="234">
        <v>2.8621970000000001</v>
      </c>
      <c r="D5" s="234">
        <v>2.6114109999999999</v>
      </c>
      <c r="E5" s="234">
        <v>2.8715540000000002</v>
      </c>
      <c r="F5" s="234">
        <v>2.62357</v>
      </c>
      <c r="G5" s="234">
        <v>2.6135429999999999</v>
      </c>
      <c r="H5" s="234">
        <v>2.6207060000000002</v>
      </c>
      <c r="I5" s="234">
        <v>2.6227529999999999</v>
      </c>
      <c r="J5" s="234">
        <v>2.307947</v>
      </c>
      <c r="K5" s="234">
        <v>2.346241</v>
      </c>
      <c r="L5" s="234">
        <v>4.5501449999999997</v>
      </c>
      <c r="M5" s="234">
        <v>0</v>
      </c>
      <c r="N5" s="234">
        <v>5.0177680000000002</v>
      </c>
      <c r="O5" s="234">
        <v>0</v>
      </c>
      <c r="P5" s="234">
        <v>4.5501420000000001</v>
      </c>
      <c r="Q5" s="234">
        <v>5.0344230000000003</v>
      </c>
      <c r="R5" s="234">
        <v>4.576854</v>
      </c>
      <c r="S5" s="234">
        <v>4.5592920000000001</v>
      </c>
      <c r="T5" s="234">
        <v>4.8326929999999999</v>
      </c>
      <c r="U5" s="234">
        <v>0</v>
      </c>
      <c r="V5" s="234">
        <v>4.8418219999999996</v>
      </c>
      <c r="W5" s="234">
        <v>0.59837700000000005</v>
      </c>
      <c r="X5" s="234">
        <v>0.69406699999999999</v>
      </c>
      <c r="Y5" s="234">
        <v>0.71468299999999996</v>
      </c>
      <c r="Z5" s="234">
        <v>0.59837700000000005</v>
      </c>
      <c r="AA5" s="234">
        <v>0.63809400000000005</v>
      </c>
      <c r="AB5" s="234">
        <v>0.69797799999999999</v>
      </c>
      <c r="AC5" s="234">
        <v>0.60329900000000003</v>
      </c>
      <c r="AD5" s="234">
        <v>0.60107100000000002</v>
      </c>
      <c r="AE5" s="234">
        <v>0.63168100000000005</v>
      </c>
      <c r="AF5" s="234">
        <v>0.69133599999999995</v>
      </c>
      <c r="AG5" s="234">
        <v>0.63339100000000004</v>
      </c>
      <c r="AH5" s="234">
        <v>1.075728</v>
      </c>
      <c r="AI5" s="234">
        <v>1.1625460000000001</v>
      </c>
      <c r="AJ5" s="234">
        <v>1.0754680000000001</v>
      </c>
      <c r="AK5" s="234">
        <v>1.168147</v>
      </c>
      <c r="AL5" s="234">
        <v>1.079731</v>
      </c>
      <c r="AM5" s="234">
        <v>1.075467</v>
      </c>
      <c r="AN5" s="234">
        <v>1.0901320000000001</v>
      </c>
      <c r="AO5" s="234">
        <v>1.09013</v>
      </c>
      <c r="AP5" s="234">
        <v>1.168571</v>
      </c>
      <c r="AQ5" s="234">
        <v>1.1221239999999999</v>
      </c>
      <c r="AR5" s="234">
        <v>1.1160209999999999</v>
      </c>
      <c r="AS5" s="234">
        <v>1.168566</v>
      </c>
      <c r="AT5" s="234">
        <v>1.1964809999999999</v>
      </c>
      <c r="AU5" s="234">
        <v>1.1417310000000001</v>
      </c>
      <c r="AV5" s="234">
        <v>1.12582</v>
      </c>
      <c r="AW5" s="234">
        <v>1.122573</v>
      </c>
      <c r="AX5" s="234">
        <v>1.116973</v>
      </c>
      <c r="AY5" s="234">
        <v>0</v>
      </c>
      <c r="AZ5" s="234">
        <v>1.119963</v>
      </c>
      <c r="BA5" s="234">
        <v>1.1208819999999999</v>
      </c>
      <c r="BB5" s="235"/>
      <c r="BC5" s="234">
        <v>1.049458</v>
      </c>
      <c r="BD5" s="234">
        <v>1.0601750000000001</v>
      </c>
      <c r="BE5" s="234">
        <v>1.062908</v>
      </c>
      <c r="BF5" s="234">
        <v>1.049571</v>
      </c>
      <c r="BG5" s="234">
        <v>1.0550710000000001</v>
      </c>
      <c r="BH5" s="234">
        <v>1.060557</v>
      </c>
      <c r="BI5" s="234">
        <v>1.066816</v>
      </c>
      <c r="BJ5" s="234">
        <v>1.0578909999999999</v>
      </c>
      <c r="BK5" s="234">
        <v>1.0531950000000001</v>
      </c>
      <c r="BL5" s="234">
        <v>1.0578989999999999</v>
      </c>
      <c r="BM5" s="234">
        <v>1.0625960000000001</v>
      </c>
      <c r="BN5" s="234">
        <v>1.060235</v>
      </c>
      <c r="BO5" s="234">
        <v>2.6049470000000001</v>
      </c>
      <c r="BP5" s="234">
        <v>2.7851780000000002</v>
      </c>
      <c r="BQ5" s="234">
        <v>2.7881719999999999</v>
      </c>
      <c r="BR5" s="234">
        <v>2.6043859999999999</v>
      </c>
      <c r="BS5" s="234">
        <v>2.6081089999999998</v>
      </c>
      <c r="BT5" s="234">
        <v>2.6114820000000001</v>
      </c>
      <c r="BU5" s="234">
        <v>2.6202380000000001</v>
      </c>
      <c r="BV5" s="234">
        <v>2.609721</v>
      </c>
      <c r="BW5" s="234">
        <v>2.6084100000000001</v>
      </c>
      <c r="BX5" s="234">
        <v>2.6116990000000002</v>
      </c>
      <c r="BY5" s="234">
        <v>2.6143350000000001</v>
      </c>
      <c r="BZ5" s="234">
        <v>2.6132</v>
      </c>
      <c r="CA5" s="234">
        <v>0.24825700000000001</v>
      </c>
      <c r="CB5" s="234">
        <v>0.248335</v>
      </c>
      <c r="CC5" s="234">
        <v>0.24807599999999999</v>
      </c>
      <c r="CD5" s="234">
        <v>0.24970899999999999</v>
      </c>
      <c r="CE5" s="234">
        <v>0.24917900000000001</v>
      </c>
      <c r="CF5" s="234">
        <v>0.24807999999999999</v>
      </c>
      <c r="CG5" s="234">
        <v>0.24831600000000001</v>
      </c>
      <c r="CH5" s="234">
        <v>0.24802099999999999</v>
      </c>
      <c r="CI5" s="234">
        <v>1.0272570000000001</v>
      </c>
      <c r="CJ5" s="234">
        <v>1.0346230000000001</v>
      </c>
      <c r="CK5" s="234">
        <v>1.0373190000000001</v>
      </c>
      <c r="CL5" s="234">
        <v>1.027353</v>
      </c>
      <c r="CM5" s="234">
        <v>1.0327299999999999</v>
      </c>
      <c r="CN5" s="234">
        <v>1.0381290000000001</v>
      </c>
      <c r="CO5" s="234">
        <v>1.0416669999999999</v>
      </c>
      <c r="CP5" s="234">
        <v>1.0353289999999999</v>
      </c>
      <c r="CQ5" s="234">
        <v>1.031245</v>
      </c>
      <c r="CR5" s="234">
        <v>1.0352680000000001</v>
      </c>
      <c r="CS5" s="234">
        <v>1.0398320000000001</v>
      </c>
      <c r="CT5" s="234">
        <v>1.0374719999999999</v>
      </c>
      <c r="CU5" s="234">
        <v>2.3048959999999998</v>
      </c>
      <c r="CV5" s="234">
        <v>2.3021500000000001</v>
      </c>
      <c r="CW5" s="234">
        <v>2.3308430000000002</v>
      </c>
      <c r="CX5" s="234">
        <v>2.3013349999999999</v>
      </c>
      <c r="CY5" s="234">
        <v>2.3155139999999999</v>
      </c>
      <c r="CZ5" s="234">
        <v>2.3201000000000001</v>
      </c>
      <c r="DA5" s="234">
        <v>2.3339219999999998</v>
      </c>
      <c r="DB5" s="234">
        <v>2.3013159999999999</v>
      </c>
      <c r="DC5" s="234">
        <v>0</v>
      </c>
      <c r="DD5" s="234">
        <v>0</v>
      </c>
      <c r="DE5" s="234">
        <v>0</v>
      </c>
      <c r="DF5" s="234">
        <v>0</v>
      </c>
      <c r="DG5" s="234">
        <v>0</v>
      </c>
      <c r="DH5" s="234">
        <v>0</v>
      </c>
      <c r="DI5" s="234">
        <v>0</v>
      </c>
      <c r="DJ5" s="234">
        <v>0</v>
      </c>
      <c r="DK5" s="236"/>
      <c r="DL5" s="234">
        <v>19.636800000000001</v>
      </c>
      <c r="DM5" s="234">
        <v>110.01462537335394</v>
      </c>
      <c r="DN5" s="234">
        <v>132.63122241184487</v>
      </c>
      <c r="DO5" s="234">
        <v>138.86268853203262</v>
      </c>
      <c r="DP5" s="234">
        <v>6.2266310000000002</v>
      </c>
      <c r="DQ5" s="234">
        <v>143.5588926622728</v>
      </c>
      <c r="DR5" s="234">
        <v>150.29815477658863</v>
      </c>
      <c r="DS5" s="234">
        <v>5.0707394669380044</v>
      </c>
      <c r="DT5" s="234">
        <v>5.5723846481703285</v>
      </c>
      <c r="DU5" s="237"/>
      <c r="DV5" s="238">
        <v>41640.269999999997</v>
      </c>
      <c r="DW5" s="238">
        <v>2506.85</v>
      </c>
      <c r="DX5" s="238">
        <v>49226.51208</v>
      </c>
      <c r="DY5" s="238">
        <v>6329.9650000000001</v>
      </c>
      <c r="DZ5" s="238">
        <v>124300.256712</v>
      </c>
      <c r="EB5" s="239">
        <v>43465</v>
      </c>
      <c r="EC5" s="239">
        <v>43496</v>
      </c>
    </row>
    <row r="6" spans="1:133" x14ac:dyDescent="0.35">
      <c r="A6" s="233">
        <v>43496</v>
      </c>
      <c r="B6" s="234">
        <v>2.6252110000000002</v>
      </c>
      <c r="C6" s="234">
        <v>2.8812440000000001</v>
      </c>
      <c r="D6" s="234">
        <v>2.62521</v>
      </c>
      <c r="E6" s="234">
        <v>2.8925930000000002</v>
      </c>
      <c r="F6" s="234">
        <v>2.639961</v>
      </c>
      <c r="G6" s="234">
        <v>2.628371</v>
      </c>
      <c r="H6" s="234">
        <v>2.6345610000000002</v>
      </c>
      <c r="I6" s="234">
        <v>2.6376270000000002</v>
      </c>
      <c r="J6" s="234">
        <v>2.3206169999999999</v>
      </c>
      <c r="K6" s="234">
        <v>2.3611970000000002</v>
      </c>
      <c r="L6" s="234">
        <v>4.5712910000000004</v>
      </c>
      <c r="M6" s="234">
        <v>0</v>
      </c>
      <c r="N6" s="234">
        <v>5.0492189999999999</v>
      </c>
      <c r="O6" s="234">
        <v>0</v>
      </c>
      <c r="P6" s="234">
        <v>4.571288</v>
      </c>
      <c r="Q6" s="234">
        <v>5.0694229999999996</v>
      </c>
      <c r="R6" s="234">
        <v>4.6036349999999997</v>
      </c>
      <c r="S6" s="234">
        <v>4.5845900000000004</v>
      </c>
      <c r="T6" s="234">
        <v>4.8588829999999996</v>
      </c>
      <c r="U6" s="234">
        <v>0</v>
      </c>
      <c r="V6" s="234">
        <v>4.8722149999999997</v>
      </c>
      <c r="W6" s="234">
        <v>0.60097400000000001</v>
      </c>
      <c r="X6" s="234">
        <v>0.69821900000000003</v>
      </c>
      <c r="Y6" s="234">
        <v>0.71912900000000002</v>
      </c>
      <c r="Z6" s="234">
        <v>0.60097500000000004</v>
      </c>
      <c r="AA6" s="234">
        <v>0.64120699999999997</v>
      </c>
      <c r="AB6" s="234">
        <v>0.70295700000000005</v>
      </c>
      <c r="AC6" s="234">
        <v>0.606935</v>
      </c>
      <c r="AD6" s="234">
        <v>0.60437399999999997</v>
      </c>
      <c r="AE6" s="234">
        <v>0.634606</v>
      </c>
      <c r="AF6" s="234">
        <v>0.69508499999999995</v>
      </c>
      <c r="AG6" s="234">
        <v>0.63680700000000001</v>
      </c>
      <c r="AH6" s="234">
        <v>1.04541</v>
      </c>
      <c r="AI6" s="234">
        <v>1.130752</v>
      </c>
      <c r="AJ6" s="234">
        <v>1.0451569999999999</v>
      </c>
      <c r="AK6" s="234">
        <v>1.1373340000000001</v>
      </c>
      <c r="AL6" s="234">
        <v>1.050154</v>
      </c>
      <c r="AM6" s="234">
        <v>1.0451569999999999</v>
      </c>
      <c r="AN6" s="234">
        <v>1.0594190000000001</v>
      </c>
      <c r="AO6" s="234">
        <v>1.0594140000000001</v>
      </c>
      <c r="AP6" s="234">
        <v>1.1747989999999999</v>
      </c>
      <c r="AQ6" s="234">
        <v>1.1293230000000001</v>
      </c>
      <c r="AR6" s="234">
        <v>1.121389</v>
      </c>
      <c r="AS6" s="234">
        <v>1.1747939999999999</v>
      </c>
      <c r="AT6" s="234">
        <v>1.203168</v>
      </c>
      <c r="AU6" s="234">
        <v>1.147519</v>
      </c>
      <c r="AV6" s="234">
        <v>1.133813</v>
      </c>
      <c r="AW6" s="234">
        <v>1.1293249999999999</v>
      </c>
      <c r="AX6" s="234">
        <v>1.1227609999999999</v>
      </c>
      <c r="AY6" s="234">
        <v>1.203473</v>
      </c>
      <c r="AZ6" s="234">
        <v>1.12616</v>
      </c>
      <c r="BA6" s="234">
        <v>1.1275120000000001</v>
      </c>
      <c r="BB6" s="235"/>
      <c r="BC6" s="234">
        <v>1.076703</v>
      </c>
      <c r="BD6" s="234">
        <v>1.088573</v>
      </c>
      <c r="BE6" s="234">
        <v>1.091642</v>
      </c>
      <c r="BF6" s="234">
        <v>1.076819</v>
      </c>
      <c r="BG6" s="234">
        <v>1.0827340000000001</v>
      </c>
      <c r="BH6" s="234">
        <v>1.0886260000000001</v>
      </c>
      <c r="BI6" s="234">
        <v>1.096433</v>
      </c>
      <c r="BJ6" s="234">
        <v>1.085753</v>
      </c>
      <c r="BK6" s="234">
        <v>1.0809310000000001</v>
      </c>
      <c r="BL6" s="234">
        <v>1.085995</v>
      </c>
      <c r="BM6" s="234">
        <v>1.091037</v>
      </c>
      <c r="BN6" s="234">
        <v>1.0885089999999999</v>
      </c>
      <c r="BO6" s="234">
        <v>2.722588</v>
      </c>
      <c r="BP6" s="234">
        <v>2.9123139999999998</v>
      </c>
      <c r="BQ6" s="234">
        <v>2.916118</v>
      </c>
      <c r="BR6" s="234">
        <v>2.7220010000000001</v>
      </c>
      <c r="BS6" s="234">
        <v>2.726569</v>
      </c>
      <c r="BT6" s="234">
        <v>2.730747</v>
      </c>
      <c r="BU6" s="234">
        <v>2.7428530000000002</v>
      </c>
      <c r="BV6" s="234">
        <v>2.728593</v>
      </c>
      <c r="BW6" s="234">
        <v>2.7272210000000001</v>
      </c>
      <c r="BX6" s="234">
        <v>2.7312189999999998</v>
      </c>
      <c r="BY6" s="234">
        <v>2.7345389999999998</v>
      </c>
      <c r="BZ6" s="234">
        <v>2.7330559999999999</v>
      </c>
      <c r="CA6" s="234">
        <v>0.25970500000000002</v>
      </c>
      <c r="CB6" s="234">
        <v>0.25980300000000001</v>
      </c>
      <c r="CC6" s="234">
        <v>0.25951600000000002</v>
      </c>
      <c r="CD6" s="234">
        <v>0.26167800000000002</v>
      </c>
      <c r="CE6" s="234">
        <v>0.26106099999999999</v>
      </c>
      <c r="CF6" s="234">
        <v>0.25953799999999999</v>
      </c>
      <c r="CG6" s="234">
        <v>0.259768</v>
      </c>
      <c r="CH6" s="234">
        <v>0.25947900000000002</v>
      </c>
      <c r="CI6" s="234">
        <v>1.0710630000000001</v>
      </c>
      <c r="CJ6" s="234">
        <v>1.079359</v>
      </c>
      <c r="CK6" s="234">
        <v>1.0824290000000001</v>
      </c>
      <c r="CL6" s="234">
        <v>1.071164</v>
      </c>
      <c r="CM6" s="234">
        <v>1.0770390000000001</v>
      </c>
      <c r="CN6" s="234">
        <v>1.08294</v>
      </c>
      <c r="CO6" s="234">
        <v>1.0877619999999999</v>
      </c>
      <c r="CP6" s="234">
        <v>1.079885</v>
      </c>
      <c r="CQ6" s="234">
        <v>1.075623</v>
      </c>
      <c r="CR6" s="234">
        <v>1.0800449999999999</v>
      </c>
      <c r="CS6" s="234">
        <v>1.0850439999999999</v>
      </c>
      <c r="CT6" s="234">
        <v>1.082468</v>
      </c>
      <c r="CU6" s="234">
        <v>2.4372229999999999</v>
      </c>
      <c r="CV6" s="234">
        <v>2.4343469999999998</v>
      </c>
      <c r="CW6" s="234">
        <v>2.4711319999999999</v>
      </c>
      <c r="CX6" s="234">
        <v>2.433465</v>
      </c>
      <c r="CY6" s="234">
        <v>2.4513699999999998</v>
      </c>
      <c r="CZ6" s="234">
        <v>2.4573999999999998</v>
      </c>
      <c r="DA6" s="234">
        <v>2.4748739999999998</v>
      </c>
      <c r="DB6" s="234">
        <v>2.4334380000000002</v>
      </c>
      <c r="DC6" s="234">
        <v>0</v>
      </c>
      <c r="DD6" s="234">
        <v>0</v>
      </c>
      <c r="DE6" s="234">
        <v>0</v>
      </c>
      <c r="DF6" s="234">
        <v>0</v>
      </c>
      <c r="DG6" s="234">
        <v>0</v>
      </c>
      <c r="DH6" s="234">
        <v>0</v>
      </c>
      <c r="DI6" s="234">
        <v>0</v>
      </c>
      <c r="DJ6" s="234">
        <v>0</v>
      </c>
      <c r="DK6" s="236"/>
      <c r="DL6" s="234">
        <v>19.122800000000002</v>
      </c>
      <c r="DM6" s="234">
        <v>110.17283251656445</v>
      </c>
      <c r="DN6" s="234">
        <v>133.30963111448145</v>
      </c>
      <c r="DO6" s="234">
        <v>139.69733043604822</v>
      </c>
      <c r="DP6" s="234">
        <v>6.2475949999999996</v>
      </c>
      <c r="DQ6" s="234">
        <v>144.49222485192851</v>
      </c>
      <c r="DR6" s="234">
        <v>151.40990187757356</v>
      </c>
      <c r="DS6" s="234">
        <v>5.10078078120213</v>
      </c>
      <c r="DT6" s="234">
        <v>5.6103883114708504</v>
      </c>
      <c r="DU6" s="237"/>
      <c r="DV6" s="238">
        <v>43987.94</v>
      </c>
      <c r="DW6" s="238">
        <v>2704.1</v>
      </c>
      <c r="DX6" s="238">
        <v>51709.963480000006</v>
      </c>
      <c r="DY6" s="238">
        <v>6906.8389999999999</v>
      </c>
      <c r="DZ6" s="238">
        <v>132078.1008292</v>
      </c>
      <c r="EB6" s="239">
        <v>43496</v>
      </c>
      <c r="EC6" s="239">
        <v>43524</v>
      </c>
    </row>
    <row r="7" spans="1:133" x14ac:dyDescent="0.35">
      <c r="A7" s="233">
        <v>43524</v>
      </c>
      <c r="B7" s="234">
        <v>2.638261</v>
      </c>
      <c r="C7" s="234">
        <v>2.8992589999999998</v>
      </c>
      <c r="D7" s="234">
        <v>2.6382599999999998</v>
      </c>
      <c r="E7" s="234">
        <v>2.912493</v>
      </c>
      <c r="F7" s="234">
        <v>2.655459</v>
      </c>
      <c r="G7" s="234">
        <v>2.642369</v>
      </c>
      <c r="H7" s="234">
        <v>2.6476660000000001</v>
      </c>
      <c r="I7" s="234">
        <v>2.651675</v>
      </c>
      <c r="J7" s="234">
        <v>2.3318509999999999</v>
      </c>
      <c r="K7" s="234">
        <v>2.3745829999999999</v>
      </c>
      <c r="L7" s="234">
        <v>4.5908230000000003</v>
      </c>
      <c r="M7" s="234">
        <v>0</v>
      </c>
      <c r="N7" s="234">
        <v>5.0784560000000001</v>
      </c>
      <c r="O7" s="234">
        <v>0</v>
      </c>
      <c r="P7" s="234">
        <v>4.5908199999999999</v>
      </c>
      <c r="Q7" s="234">
        <v>5.1019990000000002</v>
      </c>
      <c r="R7" s="234">
        <v>4.6284799999999997</v>
      </c>
      <c r="S7" s="234">
        <v>4.60806</v>
      </c>
      <c r="T7" s="234">
        <v>4.883146</v>
      </c>
      <c r="U7" s="234">
        <v>0</v>
      </c>
      <c r="V7" s="234">
        <v>4.9004789999999998</v>
      </c>
      <c r="W7" s="234">
        <v>0.603352</v>
      </c>
      <c r="X7" s="234">
        <v>0.70204699999999998</v>
      </c>
      <c r="Y7" s="234">
        <v>0.72323400000000004</v>
      </c>
      <c r="Z7" s="234">
        <v>0.603352</v>
      </c>
      <c r="AA7" s="234">
        <v>0.644065</v>
      </c>
      <c r="AB7" s="234">
        <v>0.70756699999999995</v>
      </c>
      <c r="AC7" s="234">
        <v>0.61029100000000003</v>
      </c>
      <c r="AD7" s="234">
        <v>0.607402</v>
      </c>
      <c r="AE7" s="234">
        <v>0.63728600000000002</v>
      </c>
      <c r="AF7" s="234">
        <v>0.69853699999999996</v>
      </c>
      <c r="AG7" s="234">
        <v>0.63994099999999998</v>
      </c>
      <c r="AH7" s="234">
        <v>1.0523499999999999</v>
      </c>
      <c r="AI7" s="234">
        <v>1.139175</v>
      </c>
      <c r="AJ7" s="234">
        <v>1.052095</v>
      </c>
      <c r="AK7" s="234">
        <v>1.146873</v>
      </c>
      <c r="AL7" s="234">
        <v>1.05793</v>
      </c>
      <c r="AM7" s="234">
        <v>1.0520959999999999</v>
      </c>
      <c r="AN7" s="234">
        <v>1.0664640000000001</v>
      </c>
      <c r="AO7" s="234">
        <v>1.066462</v>
      </c>
      <c r="AP7" s="234">
        <v>1.1805330000000001</v>
      </c>
      <c r="AQ7" s="234">
        <v>1.13598</v>
      </c>
      <c r="AR7" s="234">
        <v>1.12632</v>
      </c>
      <c r="AS7" s="234">
        <v>1.180528</v>
      </c>
      <c r="AT7" s="234">
        <v>1.2093320000000001</v>
      </c>
      <c r="AU7" s="234">
        <v>1.1528419999999999</v>
      </c>
      <c r="AV7" s="234">
        <v>1.1412199999999999</v>
      </c>
      <c r="AW7" s="234">
        <v>1.135559</v>
      </c>
      <c r="AX7" s="234">
        <v>1.1281129999999999</v>
      </c>
      <c r="AY7" s="234">
        <v>1.210054</v>
      </c>
      <c r="AZ7" s="234">
        <v>1.1318710000000001</v>
      </c>
      <c r="BA7" s="234">
        <v>1.1336550000000001</v>
      </c>
      <c r="BB7" s="235"/>
      <c r="BC7" s="234">
        <v>1.092195</v>
      </c>
      <c r="BD7" s="234">
        <v>1.1050329999999999</v>
      </c>
      <c r="BE7" s="234">
        <v>1.1084000000000001</v>
      </c>
      <c r="BF7" s="234">
        <v>1.0923130000000001</v>
      </c>
      <c r="BG7" s="234">
        <v>1.098571</v>
      </c>
      <c r="BH7" s="234">
        <v>1.104797</v>
      </c>
      <c r="BI7" s="234">
        <v>1.1140330000000001</v>
      </c>
      <c r="BJ7" s="234">
        <v>1.1017539999999999</v>
      </c>
      <c r="BK7" s="234">
        <v>1.096857</v>
      </c>
      <c r="BL7" s="234">
        <v>1.1022209999999999</v>
      </c>
      <c r="BM7" s="234">
        <v>1.1075440000000001</v>
      </c>
      <c r="BN7" s="234">
        <v>1.10487</v>
      </c>
      <c r="BO7" s="234">
        <v>2.83195</v>
      </c>
      <c r="BP7" s="234">
        <v>3.0305490000000002</v>
      </c>
      <c r="BQ7" s="234">
        <v>3.0352039999999998</v>
      </c>
      <c r="BR7" s="234">
        <v>2.83134</v>
      </c>
      <c r="BS7" s="234">
        <v>2.8367490000000002</v>
      </c>
      <c r="BT7" s="234">
        <v>2.8417279999999998</v>
      </c>
      <c r="BU7" s="234">
        <v>2.857205</v>
      </c>
      <c r="BV7" s="234">
        <v>2.8391829999999998</v>
      </c>
      <c r="BW7" s="234">
        <v>2.837755</v>
      </c>
      <c r="BX7" s="234">
        <v>2.8424390000000002</v>
      </c>
      <c r="BY7" s="234">
        <v>2.84646</v>
      </c>
      <c r="BZ7" s="234">
        <v>2.844649</v>
      </c>
      <c r="CA7" s="234">
        <v>0.26888200000000001</v>
      </c>
      <c r="CB7" s="234">
        <v>0.26900099999999999</v>
      </c>
      <c r="CC7" s="234">
        <v>0.26868599999999998</v>
      </c>
      <c r="CD7" s="234">
        <v>0.27136199999999999</v>
      </c>
      <c r="CE7" s="234">
        <v>0.27066099999999998</v>
      </c>
      <c r="CF7" s="234">
        <v>0.26872299999999999</v>
      </c>
      <c r="CG7" s="234">
        <v>0.26894699999999999</v>
      </c>
      <c r="CH7" s="234">
        <v>0.26866600000000002</v>
      </c>
      <c r="CI7" s="234">
        <v>1.090937</v>
      </c>
      <c r="CJ7" s="234">
        <v>1.099939</v>
      </c>
      <c r="CK7" s="234">
        <v>1.103335</v>
      </c>
      <c r="CL7" s="234">
        <v>1.09104</v>
      </c>
      <c r="CM7" s="234">
        <v>1.0972789999999999</v>
      </c>
      <c r="CN7" s="234">
        <v>1.103548</v>
      </c>
      <c r="CO7" s="234">
        <v>1.1095390000000001</v>
      </c>
      <c r="CP7" s="234">
        <v>1.100306</v>
      </c>
      <c r="CQ7" s="234">
        <v>1.095963</v>
      </c>
      <c r="CR7" s="234">
        <v>1.1006860000000001</v>
      </c>
      <c r="CS7" s="234">
        <v>1.106004</v>
      </c>
      <c r="CT7" s="234">
        <v>1.10327</v>
      </c>
      <c r="CU7" s="234">
        <v>2.3686370000000001</v>
      </c>
      <c r="CV7" s="234">
        <v>2.3658579999999998</v>
      </c>
      <c r="CW7" s="234">
        <v>2.407152</v>
      </c>
      <c r="CX7" s="234">
        <v>2.3646720000000001</v>
      </c>
      <c r="CY7" s="234">
        <v>2.3850359999999999</v>
      </c>
      <c r="CZ7" s="234">
        <v>2.3916430000000002</v>
      </c>
      <c r="DA7" s="234">
        <v>2.4115630000000001</v>
      </c>
      <c r="DB7" s="234">
        <v>2.3646340000000001</v>
      </c>
      <c r="DC7" s="234">
        <v>0</v>
      </c>
      <c r="DD7" s="234">
        <v>0</v>
      </c>
      <c r="DE7" s="234">
        <v>0</v>
      </c>
      <c r="DF7" s="234">
        <v>0</v>
      </c>
      <c r="DG7" s="234">
        <v>0</v>
      </c>
      <c r="DH7" s="234">
        <v>0</v>
      </c>
      <c r="DI7" s="234">
        <v>0</v>
      </c>
      <c r="DJ7" s="234">
        <v>0</v>
      </c>
      <c r="DK7" s="236"/>
      <c r="DL7" s="234">
        <v>19.285499999999999</v>
      </c>
      <c r="DM7" s="234">
        <v>110.31422098496071</v>
      </c>
      <c r="DN7" s="234">
        <v>133.92655846291677</v>
      </c>
      <c r="DO7" s="234">
        <v>140.45681825585223</v>
      </c>
      <c r="DP7" s="234">
        <v>6.2508609999999996</v>
      </c>
      <c r="DQ7" s="234">
        <v>145.33734382039577</v>
      </c>
      <c r="DR7" s="234">
        <v>152.41795535762961</v>
      </c>
      <c r="DS7" s="234">
        <v>5.128125216840024</v>
      </c>
      <c r="DT7" s="234">
        <v>5.6450028489114272</v>
      </c>
      <c r="DU7" s="237"/>
      <c r="DV7" s="238">
        <v>42823.81</v>
      </c>
      <c r="DW7" s="238">
        <v>2784.49</v>
      </c>
      <c r="DX7" s="238">
        <v>53700.281894999993</v>
      </c>
      <c r="DY7" s="238">
        <v>7097.5249999999996</v>
      </c>
      <c r="DZ7" s="238">
        <v>136879.31838749998</v>
      </c>
      <c r="EB7" s="239">
        <v>43524</v>
      </c>
      <c r="EC7" s="239">
        <v>43553</v>
      </c>
    </row>
    <row r="8" spans="1:133" x14ac:dyDescent="0.35">
      <c r="A8" s="233">
        <v>43553</v>
      </c>
      <c r="B8" s="234">
        <v>2.653016</v>
      </c>
      <c r="C8" s="234">
        <v>2.919597</v>
      </c>
      <c r="D8" s="234">
        <v>2.6530149999999999</v>
      </c>
      <c r="E8" s="234">
        <v>2.9349470000000002</v>
      </c>
      <c r="F8" s="234">
        <v>2.6729599999999998</v>
      </c>
      <c r="G8" s="234">
        <v>2.6581739999999998</v>
      </c>
      <c r="H8" s="234">
        <v>2.6624819999999998</v>
      </c>
      <c r="I8" s="234">
        <v>2.667516</v>
      </c>
      <c r="J8" s="234">
        <v>2.3440289999999999</v>
      </c>
      <c r="K8" s="234">
        <v>2.3892359999999999</v>
      </c>
      <c r="L8" s="234">
        <v>4.6127599999999997</v>
      </c>
      <c r="M8" s="234">
        <v>0</v>
      </c>
      <c r="N8" s="234">
        <v>5.1112900000000003</v>
      </c>
      <c r="O8" s="234">
        <v>0</v>
      </c>
      <c r="P8" s="234">
        <v>4.6127570000000002</v>
      </c>
      <c r="Q8" s="234">
        <v>5.1385750000000003</v>
      </c>
      <c r="R8" s="234">
        <v>4.6563660000000002</v>
      </c>
      <c r="S8" s="234">
        <v>4.6344260000000004</v>
      </c>
      <c r="T8" s="234">
        <v>4.9103849999999998</v>
      </c>
      <c r="U8" s="234">
        <v>0</v>
      </c>
      <c r="V8" s="234">
        <v>4.932213</v>
      </c>
      <c r="W8" s="234">
        <v>0.60599099999999995</v>
      </c>
      <c r="X8" s="234">
        <v>0.70630700000000002</v>
      </c>
      <c r="Y8" s="234">
        <v>0.72780100000000003</v>
      </c>
      <c r="Z8" s="234">
        <v>0.60599199999999998</v>
      </c>
      <c r="AA8" s="234">
        <v>0.64724000000000004</v>
      </c>
      <c r="AB8" s="234">
        <v>0.71270199999999995</v>
      </c>
      <c r="AC8" s="234">
        <v>0.61402599999999996</v>
      </c>
      <c r="AD8" s="234">
        <v>0.61077300000000001</v>
      </c>
      <c r="AE8" s="234">
        <v>0.64026499999999997</v>
      </c>
      <c r="AF8" s="234">
        <v>0.702376</v>
      </c>
      <c r="AG8" s="234">
        <v>0.64343099999999998</v>
      </c>
      <c r="AH8" s="234">
        <v>1.0567709999999999</v>
      </c>
      <c r="AI8" s="234">
        <v>1.1449750000000001</v>
      </c>
      <c r="AJ8" s="234">
        <v>1.0565150000000001</v>
      </c>
      <c r="AK8" s="234">
        <v>1.1554180000000001</v>
      </c>
      <c r="AL8" s="234">
        <v>1.0632699999999999</v>
      </c>
      <c r="AM8" s="234">
        <v>1.056516</v>
      </c>
      <c r="AN8" s="234">
        <v>1.0709569999999999</v>
      </c>
      <c r="AO8" s="234">
        <v>1.0709550000000001</v>
      </c>
      <c r="AP8" s="234">
        <v>1.1869339999999999</v>
      </c>
      <c r="AQ8" s="234">
        <v>1.1434150000000001</v>
      </c>
      <c r="AR8" s="234">
        <v>1.131821</v>
      </c>
      <c r="AS8" s="234">
        <v>1.1869289999999999</v>
      </c>
      <c r="AT8" s="234">
        <v>1.2162139999999999</v>
      </c>
      <c r="AU8" s="234">
        <v>1.1587829999999999</v>
      </c>
      <c r="AV8" s="234">
        <v>1.1494949999999999</v>
      </c>
      <c r="AW8" s="234">
        <v>1.1425209999999999</v>
      </c>
      <c r="AX8" s="234">
        <v>1.1341220000000001</v>
      </c>
      <c r="AY8" s="234">
        <v>1.217438</v>
      </c>
      <c r="AZ8" s="234">
        <v>1.1382460000000001</v>
      </c>
      <c r="BA8" s="234">
        <v>1.1405559999999999</v>
      </c>
      <c r="BB8" s="235"/>
      <c r="BC8" s="234">
        <v>1.1059399999999999</v>
      </c>
      <c r="BD8" s="234">
        <v>1.1198250000000001</v>
      </c>
      <c r="BE8" s="234">
        <v>1.1235200000000001</v>
      </c>
      <c r="BF8" s="234">
        <v>1.1060589999999999</v>
      </c>
      <c r="BG8" s="234">
        <v>1.112684</v>
      </c>
      <c r="BH8" s="234">
        <v>1.11927</v>
      </c>
      <c r="BI8" s="234">
        <v>1.1301019999999999</v>
      </c>
      <c r="BJ8" s="234">
        <v>1.116042</v>
      </c>
      <c r="BK8" s="234">
        <v>1.1110789999999999</v>
      </c>
      <c r="BL8" s="234">
        <v>1.1167670000000001</v>
      </c>
      <c r="BM8" s="234">
        <v>1.1223959999999999</v>
      </c>
      <c r="BN8" s="234">
        <v>1.1195580000000001</v>
      </c>
      <c r="BO8" s="234">
        <v>2.8940290000000002</v>
      </c>
      <c r="BP8" s="234">
        <v>3.0983939999999999</v>
      </c>
      <c r="BQ8" s="234">
        <v>3.1039370000000002</v>
      </c>
      <c r="BR8" s="234">
        <v>2.893405</v>
      </c>
      <c r="BS8" s="234">
        <v>2.8996770000000001</v>
      </c>
      <c r="BT8" s="234">
        <v>2.905484</v>
      </c>
      <c r="BU8" s="234">
        <v>2.9245839999999999</v>
      </c>
      <c r="BV8" s="234">
        <v>2.9025370000000001</v>
      </c>
      <c r="BW8" s="234">
        <v>2.9010769999999999</v>
      </c>
      <c r="BX8" s="234">
        <v>2.9064709999999998</v>
      </c>
      <c r="BY8" s="234">
        <v>2.9112119999999999</v>
      </c>
      <c r="BZ8" s="234">
        <v>2.9090590000000001</v>
      </c>
      <c r="CA8" s="234">
        <v>0.27503499999999997</v>
      </c>
      <c r="CB8" s="234">
        <v>0.275177</v>
      </c>
      <c r="CC8" s="234">
        <v>0.27472099999999999</v>
      </c>
      <c r="CD8" s="234">
        <v>0.27806599999999998</v>
      </c>
      <c r="CE8" s="234">
        <v>0.27716600000000002</v>
      </c>
      <c r="CF8" s="234">
        <v>0.27477400000000002</v>
      </c>
      <c r="CG8" s="234">
        <v>0.27510200000000001</v>
      </c>
      <c r="CH8" s="234">
        <v>0.27472099999999999</v>
      </c>
      <c r="CI8" s="234">
        <v>1.1104099999999999</v>
      </c>
      <c r="CJ8" s="234">
        <v>1.120158</v>
      </c>
      <c r="CK8" s="234">
        <v>1.12391</v>
      </c>
      <c r="CL8" s="234">
        <v>1.1105149999999999</v>
      </c>
      <c r="CM8" s="234">
        <v>1.117154</v>
      </c>
      <c r="CN8" s="234">
        <v>1.1238250000000001</v>
      </c>
      <c r="CO8" s="234">
        <v>1.1311420000000001</v>
      </c>
      <c r="CP8" s="234">
        <v>1.1203799999999999</v>
      </c>
      <c r="CQ8" s="234">
        <v>1.1159559999999999</v>
      </c>
      <c r="CR8" s="234">
        <v>1.1210100000000001</v>
      </c>
      <c r="CS8" s="234">
        <v>1.1266750000000001</v>
      </c>
      <c r="CT8" s="234">
        <v>1.1237649999999999</v>
      </c>
      <c r="CU8" s="234">
        <v>2.3781289999999999</v>
      </c>
      <c r="CV8" s="234">
        <v>2.375362</v>
      </c>
      <c r="CW8" s="234">
        <v>2.4232429999999998</v>
      </c>
      <c r="CX8" s="234">
        <v>2.3740700000000001</v>
      </c>
      <c r="CY8" s="234">
        <v>2.3975439999999999</v>
      </c>
      <c r="CZ8" s="234">
        <v>2.4052690000000001</v>
      </c>
      <c r="DA8" s="234">
        <v>2.428299</v>
      </c>
      <c r="DB8" s="234">
        <v>2.374009</v>
      </c>
      <c r="DC8" s="234">
        <v>0</v>
      </c>
      <c r="DD8" s="234">
        <v>0</v>
      </c>
      <c r="DE8" s="234">
        <v>0</v>
      </c>
      <c r="DF8" s="234">
        <v>0</v>
      </c>
      <c r="DG8" s="234">
        <v>0</v>
      </c>
      <c r="DH8" s="234">
        <v>0</v>
      </c>
      <c r="DI8" s="234">
        <v>0</v>
      </c>
      <c r="DJ8" s="234">
        <v>0</v>
      </c>
      <c r="DK8" s="236"/>
      <c r="DL8" s="234">
        <v>19.4085</v>
      </c>
      <c r="DM8" s="234">
        <v>110.46262425502465</v>
      </c>
      <c r="DN8" s="234">
        <v>134.56847589799389</v>
      </c>
      <c r="DO8" s="234">
        <v>141.24770718998121</v>
      </c>
      <c r="DP8" s="234">
        <v>6.2586199999999996</v>
      </c>
      <c r="DQ8" s="234">
        <v>146.21308205988245</v>
      </c>
      <c r="DR8" s="234">
        <v>153.46405059123416</v>
      </c>
      <c r="DS8" s="234">
        <v>5.1569698528253296</v>
      </c>
      <c r="DT8" s="234">
        <v>5.6814840718366044</v>
      </c>
      <c r="DU8" s="237"/>
      <c r="DV8" s="238">
        <v>43281.279999999999</v>
      </c>
      <c r="DW8" s="238">
        <v>2834.4</v>
      </c>
      <c r="DX8" s="238">
        <v>55011.452400000002</v>
      </c>
      <c r="DY8" s="238">
        <v>7378.7709999999997</v>
      </c>
      <c r="DZ8" s="238">
        <v>143210.8769535</v>
      </c>
      <c r="EB8" s="239">
        <v>43553</v>
      </c>
      <c r="EC8" s="239">
        <v>43585</v>
      </c>
    </row>
    <row r="9" spans="1:133" x14ac:dyDescent="0.35">
      <c r="A9" s="233">
        <v>43585</v>
      </c>
      <c r="B9" s="234">
        <v>2.6677080000000002</v>
      </c>
      <c r="C9" s="234">
        <v>2.9399120000000001</v>
      </c>
      <c r="D9" s="234">
        <v>2.6677070000000001</v>
      </c>
      <c r="E9" s="234">
        <v>2.957408</v>
      </c>
      <c r="F9" s="234">
        <v>2.6904319999999999</v>
      </c>
      <c r="G9" s="234">
        <v>2.6739600000000001</v>
      </c>
      <c r="H9" s="234">
        <v>2.6772360000000002</v>
      </c>
      <c r="I9" s="234">
        <v>2.6833469999999999</v>
      </c>
      <c r="J9" s="234">
        <v>2.3565719999999999</v>
      </c>
      <c r="K9" s="234">
        <v>2.40428</v>
      </c>
      <c r="L9" s="234">
        <v>4.6346249999999998</v>
      </c>
      <c r="M9" s="234">
        <v>0</v>
      </c>
      <c r="N9" s="234">
        <v>5.1441660000000002</v>
      </c>
      <c r="O9" s="234">
        <v>0</v>
      </c>
      <c r="P9" s="234">
        <v>4.6346220000000002</v>
      </c>
      <c r="Q9" s="234">
        <v>5.1752560000000001</v>
      </c>
      <c r="R9" s="234">
        <v>4.6842480000000002</v>
      </c>
      <c r="S9" s="234">
        <v>4.6607900000000004</v>
      </c>
      <c r="T9" s="234">
        <v>4.9375920000000004</v>
      </c>
      <c r="U9" s="234">
        <v>0</v>
      </c>
      <c r="V9" s="234">
        <v>4.9639519999999999</v>
      </c>
      <c r="W9" s="234">
        <v>0.60862799999999995</v>
      </c>
      <c r="X9" s="234">
        <v>0.71057300000000001</v>
      </c>
      <c r="Y9" s="234">
        <v>0.73237699999999994</v>
      </c>
      <c r="Z9" s="234">
        <v>0.60862899999999998</v>
      </c>
      <c r="AA9" s="234">
        <v>0.65041599999999999</v>
      </c>
      <c r="AB9" s="234">
        <v>0.71785399999999999</v>
      </c>
      <c r="AC9" s="234">
        <v>0.61777000000000004</v>
      </c>
      <c r="AD9" s="234">
        <v>0.61415799999999998</v>
      </c>
      <c r="AE9" s="234">
        <v>0.64324099999999995</v>
      </c>
      <c r="AF9" s="234">
        <v>0.70621900000000004</v>
      </c>
      <c r="AG9" s="234">
        <v>0.64699200000000001</v>
      </c>
      <c r="AH9" s="234">
        <v>1.0293289999999999</v>
      </c>
      <c r="AI9" s="234">
        <v>1.116233</v>
      </c>
      <c r="AJ9" s="234">
        <v>1.0290790000000001</v>
      </c>
      <c r="AK9" s="234">
        <v>1.1275809999999999</v>
      </c>
      <c r="AL9" s="234">
        <v>1.0365329999999999</v>
      </c>
      <c r="AM9" s="234">
        <v>1.0290900000000001</v>
      </c>
      <c r="AN9" s="234">
        <v>1.0431589999999999</v>
      </c>
      <c r="AO9" s="234">
        <v>1.0431569999999999</v>
      </c>
      <c r="AP9" s="234">
        <v>1.1933510000000001</v>
      </c>
      <c r="AQ9" s="234">
        <v>1.150879</v>
      </c>
      <c r="AR9" s="234">
        <v>1.137332</v>
      </c>
      <c r="AS9" s="234">
        <v>1.193346</v>
      </c>
      <c r="AT9" s="234">
        <v>1.223117</v>
      </c>
      <c r="AU9" s="234">
        <v>1.1647369999999999</v>
      </c>
      <c r="AV9" s="234">
        <v>1.1578090000000001</v>
      </c>
      <c r="AW9" s="234">
        <v>1.1495089999999999</v>
      </c>
      <c r="AX9" s="234">
        <v>1.140217</v>
      </c>
      <c r="AY9" s="234">
        <v>1.22492</v>
      </c>
      <c r="AZ9" s="234">
        <v>1.144639</v>
      </c>
      <c r="BA9" s="234">
        <v>1.14754</v>
      </c>
      <c r="BB9" s="235"/>
      <c r="BC9" s="234">
        <v>1.115043</v>
      </c>
      <c r="BD9" s="234">
        <v>1.1299250000000001</v>
      </c>
      <c r="BE9" s="234">
        <v>1.1339319999999999</v>
      </c>
      <c r="BF9" s="234">
        <v>1.1151629999999999</v>
      </c>
      <c r="BG9" s="234">
        <v>1.122134</v>
      </c>
      <c r="BH9" s="234">
        <v>1.129057</v>
      </c>
      <c r="BI9" s="234">
        <v>1.141473</v>
      </c>
      <c r="BJ9" s="234">
        <v>1.1256550000000001</v>
      </c>
      <c r="BK9" s="234">
        <v>1.120646</v>
      </c>
      <c r="BL9" s="234">
        <v>1.1266210000000001</v>
      </c>
      <c r="BM9" s="234">
        <v>1.132552</v>
      </c>
      <c r="BN9" s="234">
        <v>1.1295679999999999</v>
      </c>
      <c r="BO9" s="234">
        <v>2.918199</v>
      </c>
      <c r="BP9" s="234">
        <v>3.1256940000000002</v>
      </c>
      <c r="BQ9" s="234">
        <v>3.1320860000000001</v>
      </c>
      <c r="BR9" s="234">
        <v>2.9175689999999999</v>
      </c>
      <c r="BS9" s="234">
        <v>2.9246439999999998</v>
      </c>
      <c r="BT9" s="234">
        <v>2.9312239999999998</v>
      </c>
      <c r="BU9" s="234">
        <v>2.953802</v>
      </c>
      <c r="BV9" s="234">
        <v>2.927905</v>
      </c>
      <c r="BW9" s="234">
        <v>2.926431</v>
      </c>
      <c r="BX9" s="234">
        <v>2.932477</v>
      </c>
      <c r="BY9" s="234">
        <v>2.9379010000000001</v>
      </c>
      <c r="BZ9" s="234">
        <v>2.9354300000000002</v>
      </c>
      <c r="CA9" s="234">
        <v>0.27862900000000002</v>
      </c>
      <c r="CB9" s="234">
        <v>0.27878700000000001</v>
      </c>
      <c r="CC9" s="234">
        <v>0.27831</v>
      </c>
      <c r="CD9" s="234">
        <v>0.28219899999999998</v>
      </c>
      <c r="CE9" s="234">
        <v>0.28121699999999999</v>
      </c>
      <c r="CF9" s="234">
        <v>0.27837800000000001</v>
      </c>
      <c r="CG9" s="234">
        <v>0.278696</v>
      </c>
      <c r="CH9" s="234">
        <v>0.27832400000000002</v>
      </c>
      <c r="CI9" s="234">
        <v>1.1231340000000001</v>
      </c>
      <c r="CJ9" s="234">
        <v>1.1335679999999999</v>
      </c>
      <c r="CK9" s="234">
        <v>1.137664</v>
      </c>
      <c r="CL9" s="234">
        <v>1.1232390000000001</v>
      </c>
      <c r="CM9" s="234">
        <v>1.1302449999999999</v>
      </c>
      <c r="CN9" s="234">
        <v>1.1372880000000001</v>
      </c>
      <c r="CO9" s="234">
        <v>1.1459250000000001</v>
      </c>
      <c r="CP9" s="234">
        <v>1.133656</v>
      </c>
      <c r="CQ9" s="234">
        <v>1.129178</v>
      </c>
      <c r="CR9" s="234">
        <v>1.134547</v>
      </c>
      <c r="CS9" s="234">
        <v>1.1405160000000001</v>
      </c>
      <c r="CT9" s="234">
        <v>1.137446</v>
      </c>
      <c r="CU9" s="234">
        <v>2.4293830000000001</v>
      </c>
      <c r="CV9" s="234">
        <v>2.4265629999999998</v>
      </c>
      <c r="CW9" s="234">
        <v>2.4819770000000001</v>
      </c>
      <c r="CX9" s="234">
        <v>2.4250449999999999</v>
      </c>
      <c r="CY9" s="234">
        <v>2.4522339999999998</v>
      </c>
      <c r="CZ9" s="234">
        <v>2.4611339999999999</v>
      </c>
      <c r="DA9" s="234">
        <v>2.4878719999999999</v>
      </c>
      <c r="DB9" s="234">
        <v>2.4249670000000001</v>
      </c>
      <c r="DC9" s="234">
        <v>0</v>
      </c>
      <c r="DD9" s="234">
        <v>0</v>
      </c>
      <c r="DE9" s="234">
        <v>0</v>
      </c>
      <c r="DF9" s="234">
        <v>0</v>
      </c>
      <c r="DG9" s="234">
        <v>0</v>
      </c>
      <c r="DH9" s="234">
        <v>0</v>
      </c>
      <c r="DI9" s="234">
        <v>0</v>
      </c>
      <c r="DJ9" s="234">
        <v>0</v>
      </c>
      <c r="DK9" s="236"/>
      <c r="DL9" s="234">
        <v>18.942799999999998</v>
      </c>
      <c r="DM9" s="234">
        <v>110.62267232394525</v>
      </c>
      <c r="DN9" s="234">
        <v>135.2730166295843</v>
      </c>
      <c r="DO9" s="234">
        <v>142.1177930662715</v>
      </c>
      <c r="DP9" s="234">
        <v>6.2773450000000004</v>
      </c>
      <c r="DQ9" s="234">
        <v>147.18263725291953</v>
      </c>
      <c r="DR9" s="234">
        <v>154.62355675125681</v>
      </c>
      <c r="DS9" s="234">
        <v>5.1882508859592669</v>
      </c>
      <c r="DT9" s="234">
        <v>5.7211989080507584</v>
      </c>
      <c r="DU9" s="237"/>
      <c r="DV9" s="238">
        <v>44597.32</v>
      </c>
      <c r="DW9" s="238">
        <v>2945.83</v>
      </c>
      <c r="DX9" s="238">
        <v>55802.268523999992</v>
      </c>
      <c r="DY9" s="238">
        <v>7751.8469999999998</v>
      </c>
      <c r="DZ9" s="238">
        <v>146841.68735159998</v>
      </c>
      <c r="EB9" s="239">
        <v>43585</v>
      </c>
      <c r="EC9" s="239">
        <v>43616</v>
      </c>
    </row>
    <row r="10" spans="1:133" x14ac:dyDescent="0.35">
      <c r="A10" s="233">
        <v>43616</v>
      </c>
      <c r="B10" s="234">
        <v>2.6828599999999998</v>
      </c>
      <c r="C10" s="234">
        <v>2.9609269999999999</v>
      </c>
      <c r="D10" s="234">
        <v>2.682858</v>
      </c>
      <c r="E10" s="234">
        <v>2.9806689999999998</v>
      </c>
      <c r="F10" s="234">
        <v>2.7084890000000001</v>
      </c>
      <c r="G10" s="234">
        <v>2.6902080000000002</v>
      </c>
      <c r="H10" s="234">
        <v>2.69245</v>
      </c>
      <c r="I10" s="234">
        <v>2.6996530000000001</v>
      </c>
      <c r="J10" s="234">
        <v>2.3691279999999999</v>
      </c>
      <c r="K10" s="234">
        <v>2.4194330000000002</v>
      </c>
      <c r="L10" s="234">
        <v>4.6572610000000001</v>
      </c>
      <c r="M10" s="234">
        <v>0</v>
      </c>
      <c r="N10" s="234">
        <v>5.1783089999999996</v>
      </c>
      <c r="O10" s="234">
        <v>0</v>
      </c>
      <c r="P10" s="234">
        <v>4.6572579999999997</v>
      </c>
      <c r="Q10" s="234">
        <v>5.2133909999999997</v>
      </c>
      <c r="R10" s="234">
        <v>4.7131660000000002</v>
      </c>
      <c r="S10" s="234">
        <v>4.6881469999999998</v>
      </c>
      <c r="T10" s="234">
        <v>4.9657939999999998</v>
      </c>
      <c r="U10" s="234">
        <v>0</v>
      </c>
      <c r="V10" s="234">
        <v>4.9969330000000003</v>
      </c>
      <c r="W10" s="234">
        <v>0.61135399999999995</v>
      </c>
      <c r="X10" s="234">
        <v>0.71499100000000004</v>
      </c>
      <c r="Y10" s="234">
        <v>0.73711899999999997</v>
      </c>
      <c r="Z10" s="234">
        <v>0.61135399999999995</v>
      </c>
      <c r="AA10" s="234">
        <v>0.65370200000000001</v>
      </c>
      <c r="AB10" s="234">
        <v>0.72319999999999995</v>
      </c>
      <c r="AC10" s="234">
        <v>0.62165199999999998</v>
      </c>
      <c r="AD10" s="234">
        <v>0.61767799999999995</v>
      </c>
      <c r="AE10" s="234">
        <v>0.64632000000000001</v>
      </c>
      <c r="AF10" s="234">
        <v>0.71019900000000002</v>
      </c>
      <c r="AG10" s="234">
        <v>0.65063400000000005</v>
      </c>
      <c r="AH10" s="234">
        <v>1.066041</v>
      </c>
      <c r="AI10" s="234">
        <v>1.1571100000000001</v>
      </c>
      <c r="AJ10" s="234">
        <v>1.065782</v>
      </c>
      <c r="AK10" s="234">
        <v>1.1701189999999999</v>
      </c>
      <c r="AL10" s="234">
        <v>1.074438</v>
      </c>
      <c r="AM10" s="234">
        <v>1.0657939999999999</v>
      </c>
      <c r="AN10" s="234">
        <v>1.0803769999999999</v>
      </c>
      <c r="AO10" s="234">
        <v>1.0803720000000001</v>
      </c>
      <c r="AP10" s="234">
        <v>1.1999869999999999</v>
      </c>
      <c r="AQ10" s="234">
        <v>1.1586129999999999</v>
      </c>
      <c r="AR10" s="234">
        <v>1.1430229999999999</v>
      </c>
      <c r="AS10" s="234">
        <v>1.199981</v>
      </c>
      <c r="AT10" s="234">
        <v>1.2302569999999999</v>
      </c>
      <c r="AU10" s="234">
        <v>1.1708890000000001</v>
      </c>
      <c r="AV10" s="234">
        <v>1.1664300000000001</v>
      </c>
      <c r="AW10" s="234">
        <v>1.1567430000000001</v>
      </c>
      <c r="AX10" s="234">
        <v>1.1465259999999999</v>
      </c>
      <c r="AY10" s="234">
        <v>1.232674</v>
      </c>
      <c r="AZ10" s="234">
        <v>1.1512519999999999</v>
      </c>
      <c r="BA10" s="234">
        <v>1.1547799999999999</v>
      </c>
      <c r="BB10" s="235"/>
      <c r="BC10" s="234">
        <v>1.109739</v>
      </c>
      <c r="BD10" s="234">
        <v>1.1254580000000001</v>
      </c>
      <c r="BE10" s="234">
        <v>1.1297360000000001</v>
      </c>
      <c r="BF10" s="234">
        <v>1.1098589999999999</v>
      </c>
      <c r="BG10" s="234">
        <v>1.1170949999999999</v>
      </c>
      <c r="BH10" s="234">
        <v>1.1242780000000001</v>
      </c>
      <c r="BI10" s="234">
        <v>1.1381749999999999</v>
      </c>
      <c r="BJ10" s="234">
        <v>1.1207389999999999</v>
      </c>
      <c r="BK10" s="234">
        <v>1.11575</v>
      </c>
      <c r="BL10" s="234">
        <v>1.121937</v>
      </c>
      <c r="BM10" s="234">
        <v>1.128107</v>
      </c>
      <c r="BN10" s="234">
        <v>1.125014</v>
      </c>
      <c r="BO10" s="234">
        <v>2.8843930000000002</v>
      </c>
      <c r="BP10" s="234">
        <v>3.0909450000000001</v>
      </c>
      <c r="BQ10" s="234">
        <v>3.0980729999999999</v>
      </c>
      <c r="BR10" s="234">
        <v>2.8837709999999999</v>
      </c>
      <c r="BS10" s="234">
        <v>2.8915299999999999</v>
      </c>
      <c r="BT10" s="234">
        <v>2.898774</v>
      </c>
      <c r="BU10" s="234">
        <v>2.9244829999999999</v>
      </c>
      <c r="BV10" s="234">
        <v>2.8951370000000001</v>
      </c>
      <c r="BW10" s="234">
        <v>2.8936799999999998</v>
      </c>
      <c r="BX10" s="234">
        <v>2.900277</v>
      </c>
      <c r="BY10" s="234">
        <v>2.9062950000000001</v>
      </c>
      <c r="BZ10" s="234">
        <v>2.903543</v>
      </c>
      <c r="CA10" s="234">
        <v>0.27033000000000001</v>
      </c>
      <c r="CB10" s="234">
        <v>0.27050600000000002</v>
      </c>
      <c r="CC10" s="234">
        <v>0.27002100000000001</v>
      </c>
      <c r="CD10" s="234">
        <v>0.27429799999999999</v>
      </c>
      <c r="CE10" s="234">
        <v>0.27327299999999999</v>
      </c>
      <c r="CF10" s="234">
        <v>0.27010299999999998</v>
      </c>
      <c r="CG10" s="234">
        <v>0.270395</v>
      </c>
      <c r="CH10" s="234">
        <v>0.27005299999999999</v>
      </c>
      <c r="CI10" s="234">
        <v>1.107418</v>
      </c>
      <c r="CJ10" s="234">
        <v>1.118304</v>
      </c>
      <c r="CK10" s="234">
        <v>1.122641</v>
      </c>
      <c r="CL10" s="234">
        <v>1.107523</v>
      </c>
      <c r="CM10" s="234">
        <v>1.114727</v>
      </c>
      <c r="CN10" s="234">
        <v>1.121972</v>
      </c>
      <c r="CO10" s="234">
        <v>1.1317489999999999</v>
      </c>
      <c r="CP10" s="234">
        <v>1.118239</v>
      </c>
      <c r="CQ10" s="234">
        <v>1.1138220000000001</v>
      </c>
      <c r="CR10" s="234">
        <v>1.119375</v>
      </c>
      <c r="CS10" s="234">
        <v>1.1255059999999999</v>
      </c>
      <c r="CT10" s="234">
        <v>1.122347</v>
      </c>
      <c r="CU10" s="234">
        <v>2.328328</v>
      </c>
      <c r="CV10" s="234">
        <v>2.3256610000000002</v>
      </c>
      <c r="CW10" s="234">
        <v>2.3848210000000001</v>
      </c>
      <c r="CX10" s="234">
        <v>2.3236400000000001</v>
      </c>
      <c r="CY10" s="234">
        <v>2.353218</v>
      </c>
      <c r="CZ10" s="234">
        <v>2.362409</v>
      </c>
      <c r="DA10" s="234">
        <v>2.3915799999999998</v>
      </c>
      <c r="DB10" s="234">
        <v>2.3235350000000001</v>
      </c>
      <c r="DC10" s="234">
        <v>0</v>
      </c>
      <c r="DD10" s="234">
        <v>0</v>
      </c>
      <c r="DE10" s="234">
        <v>0</v>
      </c>
      <c r="DF10" s="234">
        <v>0</v>
      </c>
      <c r="DG10" s="234">
        <v>0</v>
      </c>
      <c r="DH10" s="234">
        <v>0</v>
      </c>
      <c r="DI10" s="234">
        <v>0</v>
      </c>
      <c r="DJ10" s="234">
        <v>0</v>
      </c>
      <c r="DK10" s="236"/>
      <c r="DL10" s="234">
        <v>19.66</v>
      </c>
      <c r="DM10" s="234">
        <v>110.78365904069669</v>
      </c>
      <c r="DN10" s="234">
        <v>135.96377325866811</v>
      </c>
      <c r="DO10" s="234">
        <v>142.9707761648223</v>
      </c>
      <c r="DP10" s="234">
        <v>6.2724880000000001</v>
      </c>
      <c r="DQ10" s="234">
        <v>148.12938956704895</v>
      </c>
      <c r="DR10" s="234">
        <v>155.75664676532762</v>
      </c>
      <c r="DS10" s="234">
        <v>5.2195245093551881</v>
      </c>
      <c r="DT10" s="234">
        <v>5.7608086751574969</v>
      </c>
      <c r="DU10" s="237"/>
      <c r="DV10" s="238">
        <v>42749.16</v>
      </c>
      <c r="DW10" s="238">
        <v>2752.06</v>
      </c>
      <c r="DX10" s="238">
        <v>54105.499600000003</v>
      </c>
      <c r="DY10" s="238">
        <v>7127.9560000000001</v>
      </c>
      <c r="DZ10" s="238">
        <v>140135.61496000001</v>
      </c>
      <c r="EB10" s="239">
        <v>43616</v>
      </c>
      <c r="EC10" s="239">
        <v>43644</v>
      </c>
    </row>
    <row r="11" spans="1:133" x14ac:dyDescent="0.35">
      <c r="A11" s="233">
        <v>43644</v>
      </c>
      <c r="B11" s="234">
        <v>2.6997170000000001</v>
      </c>
      <c r="C11" s="234">
        <v>2.9833340000000002</v>
      </c>
      <c r="D11" s="234">
        <v>2.699716</v>
      </c>
      <c r="E11" s="234">
        <v>3.0050970000000001</v>
      </c>
      <c r="F11" s="234">
        <v>2.7279559999999998</v>
      </c>
      <c r="G11" s="234">
        <v>2.7080150000000001</v>
      </c>
      <c r="H11" s="234">
        <v>2.7093759999999998</v>
      </c>
      <c r="I11" s="234">
        <v>2.717533</v>
      </c>
      <c r="J11" s="234">
        <v>2.380706</v>
      </c>
      <c r="K11" s="234">
        <v>2.4333239999999998</v>
      </c>
      <c r="L11" s="234">
        <v>4.677111</v>
      </c>
      <c r="M11" s="234">
        <v>0</v>
      </c>
      <c r="N11" s="234">
        <v>5.208329</v>
      </c>
      <c r="O11" s="234">
        <v>0</v>
      </c>
      <c r="P11" s="234">
        <v>4.6771079999999996</v>
      </c>
      <c r="Q11" s="234">
        <v>5.2469299999999999</v>
      </c>
      <c r="R11" s="234">
        <v>4.7385739999999998</v>
      </c>
      <c r="S11" s="234">
        <v>4.71218</v>
      </c>
      <c r="T11" s="234">
        <v>4.990558</v>
      </c>
      <c r="U11" s="234">
        <v>0</v>
      </c>
      <c r="V11" s="234">
        <v>5.0258849999999997</v>
      </c>
      <c r="W11" s="234">
        <v>0.61374300000000004</v>
      </c>
      <c r="X11" s="234">
        <v>0.71887699999999999</v>
      </c>
      <c r="Y11" s="234">
        <v>0.74129199999999995</v>
      </c>
      <c r="Z11" s="234">
        <v>0.61374300000000004</v>
      </c>
      <c r="AA11" s="234">
        <v>0.65658499999999997</v>
      </c>
      <c r="AB11" s="234">
        <v>0.727908</v>
      </c>
      <c r="AC11" s="234">
        <v>0.62506300000000004</v>
      </c>
      <c r="AD11" s="234">
        <v>0.62080100000000005</v>
      </c>
      <c r="AE11" s="234">
        <v>0.64902000000000004</v>
      </c>
      <c r="AF11" s="234">
        <v>0.71369400000000005</v>
      </c>
      <c r="AG11" s="234">
        <v>0.65386500000000003</v>
      </c>
      <c r="AH11" s="234">
        <v>1.0382309999999999</v>
      </c>
      <c r="AI11" s="234">
        <v>1.127823</v>
      </c>
      <c r="AJ11" s="234">
        <v>1.037979</v>
      </c>
      <c r="AK11" s="234">
        <v>1.1415679999999999</v>
      </c>
      <c r="AL11" s="234">
        <v>1.0472090000000001</v>
      </c>
      <c r="AM11" s="234">
        <v>1.0379910000000001</v>
      </c>
      <c r="AN11" s="234">
        <v>1.0522050000000001</v>
      </c>
      <c r="AO11" s="234">
        <v>1.0521959999999999</v>
      </c>
      <c r="AP11" s="234">
        <v>1.205824</v>
      </c>
      <c r="AQ11" s="234">
        <v>1.1654279999999999</v>
      </c>
      <c r="AR11" s="234">
        <v>1.1480269999999999</v>
      </c>
      <c r="AS11" s="234">
        <v>1.205819</v>
      </c>
      <c r="AT11" s="234">
        <v>1.2365409999999999</v>
      </c>
      <c r="AU11" s="234">
        <v>1.1762999999999999</v>
      </c>
      <c r="AV11" s="234">
        <v>1.1740349999999999</v>
      </c>
      <c r="AW11" s="234">
        <v>1.1631119999999999</v>
      </c>
      <c r="AX11" s="234">
        <v>1.152042</v>
      </c>
      <c r="AY11" s="234">
        <v>1.239466</v>
      </c>
      <c r="AZ11" s="234">
        <v>1.157071</v>
      </c>
      <c r="BA11" s="234">
        <v>1.1611180000000001</v>
      </c>
      <c r="BB11" s="235"/>
      <c r="BC11" s="234">
        <v>1.126287</v>
      </c>
      <c r="BD11" s="234">
        <v>1.143035</v>
      </c>
      <c r="BE11" s="234">
        <v>1.1476310000000001</v>
      </c>
      <c r="BF11" s="234">
        <v>1.1264080000000001</v>
      </c>
      <c r="BG11" s="234">
        <v>1.134018</v>
      </c>
      <c r="BH11" s="234">
        <v>1.141567</v>
      </c>
      <c r="BI11" s="234">
        <v>1.157043</v>
      </c>
      <c r="BJ11" s="234">
        <v>1.1378410000000001</v>
      </c>
      <c r="BK11" s="234">
        <v>1.132773</v>
      </c>
      <c r="BL11" s="234">
        <v>1.139275</v>
      </c>
      <c r="BM11" s="234">
        <v>1.1457710000000001</v>
      </c>
      <c r="BN11" s="234">
        <v>1.142512</v>
      </c>
      <c r="BO11" s="234">
        <v>2.9517920000000002</v>
      </c>
      <c r="BP11" s="234">
        <v>3.1645289999999999</v>
      </c>
      <c r="BQ11" s="234">
        <v>3.1725539999999999</v>
      </c>
      <c r="BR11" s="234">
        <v>2.951155</v>
      </c>
      <c r="BS11" s="234">
        <v>2.9597820000000001</v>
      </c>
      <c r="BT11" s="234">
        <v>2.9678580000000001</v>
      </c>
      <c r="BU11" s="234">
        <v>2.9971990000000002</v>
      </c>
      <c r="BV11" s="234">
        <v>2.9638179999999998</v>
      </c>
      <c r="BW11" s="234">
        <v>2.962326</v>
      </c>
      <c r="BX11" s="234">
        <v>2.969633</v>
      </c>
      <c r="BY11" s="234">
        <v>2.9763809999999999</v>
      </c>
      <c r="BZ11" s="234">
        <v>2.9732750000000001</v>
      </c>
      <c r="CA11" s="234">
        <v>0.28050000000000003</v>
      </c>
      <c r="CB11" s="234">
        <v>0.280694</v>
      </c>
      <c r="CC11" s="234">
        <v>0.28009200000000001</v>
      </c>
      <c r="CD11" s="234">
        <v>0.28507700000000002</v>
      </c>
      <c r="CE11" s="234">
        <v>0.28385500000000002</v>
      </c>
      <c r="CF11" s="234">
        <v>0.280192</v>
      </c>
      <c r="CG11" s="234">
        <v>0.28056799999999998</v>
      </c>
      <c r="CH11" s="234">
        <v>0.28013900000000003</v>
      </c>
      <c r="CI11" s="234">
        <v>1.135113</v>
      </c>
      <c r="CJ11" s="234">
        <v>1.1468119999999999</v>
      </c>
      <c r="CK11" s="234">
        <v>1.151535</v>
      </c>
      <c r="CL11" s="234">
        <v>1.1352199999999999</v>
      </c>
      <c r="CM11" s="234">
        <v>1.142871</v>
      </c>
      <c r="CN11" s="234">
        <v>1.1505669999999999</v>
      </c>
      <c r="CO11" s="234">
        <v>1.161721</v>
      </c>
      <c r="CP11" s="234">
        <v>1.146606</v>
      </c>
      <c r="CQ11" s="234">
        <v>1.142075</v>
      </c>
      <c r="CR11" s="234">
        <v>1.147999</v>
      </c>
      <c r="CS11" s="234">
        <v>1.1545049999999999</v>
      </c>
      <c r="CT11" s="234">
        <v>1.151149</v>
      </c>
      <c r="CU11" s="234">
        <v>2.3565239999999998</v>
      </c>
      <c r="CV11" s="234">
        <v>2.353888</v>
      </c>
      <c r="CW11" s="234">
        <v>2.4193600000000002</v>
      </c>
      <c r="CX11" s="234">
        <v>2.351594</v>
      </c>
      <c r="CY11" s="234">
        <v>2.3843679999999998</v>
      </c>
      <c r="CZ11" s="234">
        <v>2.3945439999999998</v>
      </c>
      <c r="DA11" s="234">
        <v>2.426968</v>
      </c>
      <c r="DB11" s="234">
        <v>2.3514270000000002</v>
      </c>
      <c r="DC11" s="234">
        <v>0</v>
      </c>
      <c r="DD11" s="234">
        <v>0</v>
      </c>
      <c r="DE11" s="234">
        <v>0</v>
      </c>
      <c r="DF11" s="234">
        <v>0</v>
      </c>
      <c r="DG11" s="234">
        <v>0</v>
      </c>
      <c r="DH11" s="234">
        <v>0</v>
      </c>
      <c r="DI11" s="234">
        <v>0</v>
      </c>
      <c r="DJ11" s="234">
        <v>0</v>
      </c>
      <c r="DK11" s="236"/>
      <c r="DL11" s="234">
        <v>19.186499999999999</v>
      </c>
      <c r="DM11" s="234">
        <v>110.93272460858367</v>
      </c>
      <c r="DN11" s="234">
        <v>136.60250085126549</v>
      </c>
      <c r="DO11" s="234">
        <v>143.7580685722366</v>
      </c>
      <c r="DP11" s="234">
        <v>6.258718</v>
      </c>
      <c r="DQ11" s="234">
        <v>148.99002132043353</v>
      </c>
      <c r="DR11" s="234">
        <v>156.78758270397324</v>
      </c>
      <c r="DS11" s="234">
        <v>5.2487944429093174</v>
      </c>
      <c r="DT11" s="234">
        <v>5.7977738641564249</v>
      </c>
      <c r="DU11" s="237"/>
      <c r="DV11" s="238">
        <v>43161.17</v>
      </c>
      <c r="DW11" s="238">
        <v>2941.76</v>
      </c>
      <c r="DX11" s="238">
        <v>56442.078240000003</v>
      </c>
      <c r="DY11" s="238">
        <v>7671.0749999999998</v>
      </c>
      <c r="DZ11" s="238">
        <v>147181.08048749997</v>
      </c>
      <c r="EB11" s="239">
        <v>43644</v>
      </c>
      <c r="EC11" s="239">
        <v>43677</v>
      </c>
    </row>
    <row r="12" spans="1:133" x14ac:dyDescent="0.35">
      <c r="A12" s="233">
        <v>43677</v>
      </c>
      <c r="B12" s="234">
        <v>2.7149619999999999</v>
      </c>
      <c r="C12" s="234">
        <v>3.0044230000000001</v>
      </c>
      <c r="D12" s="234">
        <v>2.71496</v>
      </c>
      <c r="E12" s="234">
        <v>3.028429</v>
      </c>
      <c r="F12" s="234">
        <v>2.746092</v>
      </c>
      <c r="G12" s="234">
        <v>2.7243189999999999</v>
      </c>
      <c r="H12" s="234">
        <v>2.7246839999999999</v>
      </c>
      <c r="I12" s="234">
        <v>2.7338849999999999</v>
      </c>
      <c r="J12" s="234">
        <v>2.3937050000000002</v>
      </c>
      <c r="K12" s="234">
        <v>2.4489160000000001</v>
      </c>
      <c r="L12" s="234">
        <v>4.699147</v>
      </c>
      <c r="M12" s="234">
        <v>0</v>
      </c>
      <c r="N12" s="234">
        <v>5.241689</v>
      </c>
      <c r="O12" s="234">
        <v>0</v>
      </c>
      <c r="P12" s="234">
        <v>4.6991440000000004</v>
      </c>
      <c r="Q12" s="234">
        <v>5.284249</v>
      </c>
      <c r="R12" s="234">
        <v>4.7668270000000001</v>
      </c>
      <c r="S12" s="234">
        <v>4.7388589999999997</v>
      </c>
      <c r="T12" s="234">
        <v>5.0180759999999998</v>
      </c>
      <c r="U12" s="234">
        <v>0</v>
      </c>
      <c r="V12" s="234">
        <v>5.0580150000000001</v>
      </c>
      <c r="W12" s="234">
        <v>0.616394</v>
      </c>
      <c r="X12" s="234">
        <v>0.72319800000000001</v>
      </c>
      <c r="Y12" s="234">
        <v>0.74593100000000001</v>
      </c>
      <c r="Z12" s="234">
        <v>0.61639500000000003</v>
      </c>
      <c r="AA12" s="234">
        <v>0.65978700000000001</v>
      </c>
      <c r="AB12" s="234">
        <v>0.73314999999999997</v>
      </c>
      <c r="AC12" s="234">
        <v>0.62885800000000003</v>
      </c>
      <c r="AD12" s="234">
        <v>0.62424199999999996</v>
      </c>
      <c r="AE12" s="234">
        <v>0.65201799999999999</v>
      </c>
      <c r="AF12" s="234">
        <v>0.71757899999999997</v>
      </c>
      <c r="AG12" s="234">
        <v>0.65742999999999996</v>
      </c>
      <c r="AH12" s="234">
        <v>1.0350029999999999</v>
      </c>
      <c r="AI12" s="234">
        <v>1.125318</v>
      </c>
      <c r="AJ12" s="234">
        <v>1.034751</v>
      </c>
      <c r="AK12" s="234">
        <v>1.140212</v>
      </c>
      <c r="AL12" s="234">
        <v>1.044835</v>
      </c>
      <c r="AM12" s="234">
        <v>1.0347630000000001</v>
      </c>
      <c r="AN12" s="234">
        <v>1.048945</v>
      </c>
      <c r="AO12" s="234">
        <v>1.0489360000000001</v>
      </c>
      <c r="AP12" s="234">
        <v>1.212378</v>
      </c>
      <c r="AQ12" s="234">
        <v>1.173076</v>
      </c>
      <c r="AR12" s="234">
        <v>1.153648</v>
      </c>
      <c r="AS12" s="234">
        <v>1.2123729999999999</v>
      </c>
      <c r="AT12" s="234">
        <v>1.2435959999999999</v>
      </c>
      <c r="AU12" s="234">
        <v>1.1823760000000001</v>
      </c>
      <c r="AV12" s="234">
        <v>1.1825699999999999</v>
      </c>
      <c r="AW12" s="234">
        <v>1.1702619999999999</v>
      </c>
      <c r="AX12" s="234">
        <v>1.158237</v>
      </c>
      <c r="AY12" s="234">
        <v>1.24709</v>
      </c>
      <c r="AZ12" s="234">
        <v>1.163605</v>
      </c>
      <c r="BA12" s="234">
        <v>1.168215</v>
      </c>
      <c r="BB12" s="235"/>
      <c r="BC12" s="234">
        <v>1.128919</v>
      </c>
      <c r="BD12" s="234">
        <v>1.1465810000000001</v>
      </c>
      <c r="BE12" s="234">
        <v>1.1514679999999999</v>
      </c>
      <c r="BF12" s="234">
        <v>1.129041</v>
      </c>
      <c r="BG12" s="234">
        <v>1.1369640000000001</v>
      </c>
      <c r="BH12" s="234">
        <v>1.1448179999999999</v>
      </c>
      <c r="BI12" s="234">
        <v>1.1618569999999999</v>
      </c>
      <c r="BJ12" s="234">
        <v>1.140933</v>
      </c>
      <c r="BK12" s="234">
        <v>1.1358490000000001</v>
      </c>
      <c r="BL12" s="234">
        <v>1.142611</v>
      </c>
      <c r="BM12" s="234">
        <v>1.1493819999999999</v>
      </c>
      <c r="BN12" s="234">
        <v>1.145991</v>
      </c>
      <c r="BO12" s="234">
        <v>2.9722119999999999</v>
      </c>
      <c r="BP12" s="234">
        <v>3.1880060000000001</v>
      </c>
      <c r="BQ12" s="234">
        <v>3.1968670000000001</v>
      </c>
      <c r="BR12" s="234">
        <v>2.971571</v>
      </c>
      <c r="BS12" s="234">
        <v>2.9810219999999998</v>
      </c>
      <c r="BT12" s="234">
        <v>2.9898959999999999</v>
      </c>
      <c r="BU12" s="234">
        <v>3.0228280000000001</v>
      </c>
      <c r="BV12" s="234">
        <v>2.985471</v>
      </c>
      <c r="BW12" s="234">
        <v>2.9839669999999998</v>
      </c>
      <c r="BX12" s="234">
        <v>2.9919639999999998</v>
      </c>
      <c r="BY12" s="234">
        <v>2.9994000000000001</v>
      </c>
      <c r="BZ12" s="234">
        <v>2.995927</v>
      </c>
      <c r="CA12" s="234">
        <v>0.28373700000000002</v>
      </c>
      <c r="CB12" s="234">
        <v>0.28394900000000001</v>
      </c>
      <c r="CC12" s="234">
        <v>0.28332299999999999</v>
      </c>
      <c r="CD12" s="234">
        <v>0.28888000000000003</v>
      </c>
      <c r="CE12" s="234">
        <v>0.28756900000000002</v>
      </c>
      <c r="CF12" s="234">
        <v>0.283441</v>
      </c>
      <c r="CG12" s="234">
        <v>0.28380499999999997</v>
      </c>
      <c r="CH12" s="234">
        <v>0.283389</v>
      </c>
      <c r="CI12" s="234">
        <v>1.1394120000000001</v>
      </c>
      <c r="CJ12" s="234">
        <v>1.151748</v>
      </c>
      <c r="CK12" s="234">
        <v>1.156787</v>
      </c>
      <c r="CL12" s="234">
        <v>1.1395189999999999</v>
      </c>
      <c r="CM12" s="234">
        <v>1.1474949999999999</v>
      </c>
      <c r="CN12" s="234">
        <v>1.1555200000000001</v>
      </c>
      <c r="CO12" s="234">
        <v>1.1679790000000001</v>
      </c>
      <c r="CP12" s="234">
        <v>1.1513930000000001</v>
      </c>
      <c r="CQ12" s="234">
        <v>1.1468419999999999</v>
      </c>
      <c r="CR12" s="234">
        <v>1.1530480000000001</v>
      </c>
      <c r="CS12" s="234">
        <v>1.1598299999999999</v>
      </c>
      <c r="CT12" s="234">
        <v>1.1563349999999999</v>
      </c>
      <c r="CU12" s="234">
        <v>2.2293569999999998</v>
      </c>
      <c r="CV12" s="234">
        <v>2.2268870000000001</v>
      </c>
      <c r="CW12" s="234">
        <v>2.295004</v>
      </c>
      <c r="CX12" s="234">
        <v>2.2247189999999999</v>
      </c>
      <c r="CY12" s="234">
        <v>2.2584780000000002</v>
      </c>
      <c r="CZ12" s="234">
        <v>2.2692589999999999</v>
      </c>
      <c r="DA12" s="234">
        <v>2.3027099999999998</v>
      </c>
      <c r="DB12" s="234">
        <v>2.2245339999999998</v>
      </c>
      <c r="DC12" s="234">
        <v>0</v>
      </c>
      <c r="DD12" s="234">
        <v>0</v>
      </c>
      <c r="DE12" s="234">
        <v>0</v>
      </c>
      <c r="DF12" s="234">
        <v>0</v>
      </c>
      <c r="DG12" s="234">
        <v>0</v>
      </c>
      <c r="DH12" s="234">
        <v>0</v>
      </c>
      <c r="DI12" s="234">
        <v>0</v>
      </c>
      <c r="DJ12" s="234">
        <v>0</v>
      </c>
      <c r="DK12" s="236"/>
      <c r="DL12" s="234">
        <v>19.166499999999999</v>
      </c>
      <c r="DM12" s="234">
        <v>111.10864542102546</v>
      </c>
      <c r="DN12" s="234">
        <v>137.36633650185883</v>
      </c>
      <c r="DO12" s="234">
        <v>144.69896513104189</v>
      </c>
      <c r="DP12" s="234">
        <v>6.2745129999999998</v>
      </c>
      <c r="DQ12" s="234">
        <v>150.00613326583888</v>
      </c>
      <c r="DR12" s="234">
        <v>158.00634484685881</v>
      </c>
      <c r="DS12" s="234">
        <v>5.2828206276845506</v>
      </c>
      <c r="DT12" s="234">
        <v>5.8408861106102918</v>
      </c>
      <c r="DU12" s="237"/>
      <c r="DV12" s="238">
        <v>40863.089999999997</v>
      </c>
      <c r="DW12" s="238">
        <v>2980.38</v>
      </c>
      <c r="DX12" s="238">
        <v>57123.453269999998</v>
      </c>
      <c r="DY12" s="238">
        <v>7848.78</v>
      </c>
      <c r="DZ12" s="238">
        <v>150433.64186999999</v>
      </c>
      <c r="EB12" s="239">
        <v>43677</v>
      </c>
      <c r="EC12" s="239">
        <v>43707</v>
      </c>
    </row>
    <row r="13" spans="1:133" x14ac:dyDescent="0.35">
      <c r="A13" s="233">
        <v>43707</v>
      </c>
      <c r="B13" s="234">
        <v>2.7349830000000002</v>
      </c>
      <c r="C13" s="234">
        <v>3.0309720000000002</v>
      </c>
      <c r="D13" s="234">
        <v>2.734982</v>
      </c>
      <c r="E13" s="234">
        <v>3.0573640000000002</v>
      </c>
      <c r="F13" s="234">
        <v>2.7691889999999999</v>
      </c>
      <c r="G13" s="234">
        <v>2.7455080000000001</v>
      </c>
      <c r="H13" s="234">
        <v>2.7447859999999999</v>
      </c>
      <c r="I13" s="234">
        <v>2.7551399999999999</v>
      </c>
      <c r="J13" s="234">
        <v>2.4064969999999999</v>
      </c>
      <c r="K13" s="234">
        <v>2.4644050000000002</v>
      </c>
      <c r="L13" s="234">
        <v>4.7214910000000003</v>
      </c>
      <c r="M13" s="234">
        <v>0</v>
      </c>
      <c r="N13" s="234">
        <v>5.2757870000000002</v>
      </c>
      <c r="O13" s="234">
        <v>0</v>
      </c>
      <c r="P13" s="234">
        <v>4.7214879999999999</v>
      </c>
      <c r="Q13" s="234">
        <v>5.3224809999999998</v>
      </c>
      <c r="R13" s="234">
        <v>4.7956560000000001</v>
      </c>
      <c r="S13" s="234">
        <v>4.7660489999999998</v>
      </c>
      <c r="T13" s="234">
        <v>5.0461</v>
      </c>
      <c r="U13" s="234">
        <v>0</v>
      </c>
      <c r="V13" s="234">
        <v>5.0908910000000001</v>
      </c>
      <c r="W13" s="234">
        <v>0.61910100000000001</v>
      </c>
      <c r="X13" s="234">
        <v>0.72763299999999997</v>
      </c>
      <c r="Y13" s="234">
        <v>0.75069600000000003</v>
      </c>
      <c r="Z13" s="234">
        <v>0.61910100000000001</v>
      </c>
      <c r="AA13" s="234">
        <v>0.66306299999999996</v>
      </c>
      <c r="AB13" s="234">
        <v>0.73854699999999995</v>
      </c>
      <c r="AC13" s="234">
        <v>0.63275700000000001</v>
      </c>
      <c r="AD13" s="234">
        <v>0.62776299999999996</v>
      </c>
      <c r="AE13" s="234">
        <v>0.65508200000000005</v>
      </c>
      <c r="AF13" s="234">
        <v>0.72156200000000004</v>
      </c>
      <c r="AG13" s="234">
        <v>0.66107700000000003</v>
      </c>
      <c r="AH13" s="234">
        <v>1.0794159999999999</v>
      </c>
      <c r="AI13" s="234">
        <v>1.1746890000000001</v>
      </c>
      <c r="AJ13" s="234">
        <v>1.079153</v>
      </c>
      <c r="AK13" s="234">
        <v>1.1915089999999999</v>
      </c>
      <c r="AL13" s="234">
        <v>1.0906229999999999</v>
      </c>
      <c r="AM13" s="234">
        <v>1.0791660000000001</v>
      </c>
      <c r="AN13" s="234">
        <v>1.0939700000000001</v>
      </c>
      <c r="AO13" s="234">
        <v>1.093963</v>
      </c>
      <c r="AP13" s="234">
        <v>1.219061</v>
      </c>
      <c r="AQ13" s="234">
        <v>1.1809069999999999</v>
      </c>
      <c r="AR13" s="234">
        <v>1.1593640000000001</v>
      </c>
      <c r="AS13" s="234">
        <v>1.2190559999999999</v>
      </c>
      <c r="AT13" s="234">
        <v>1.2507969999999999</v>
      </c>
      <c r="AU13" s="234">
        <v>1.188564</v>
      </c>
      <c r="AV13" s="234">
        <v>1.1913260000000001</v>
      </c>
      <c r="AW13" s="234">
        <v>1.177573</v>
      </c>
      <c r="AX13" s="234">
        <v>1.1645449999999999</v>
      </c>
      <c r="AY13" s="234">
        <v>1.2548809999999999</v>
      </c>
      <c r="AZ13" s="234">
        <v>1.170272</v>
      </c>
      <c r="BA13" s="234">
        <v>1.1754709999999999</v>
      </c>
      <c r="BB13" s="235"/>
      <c r="BC13" s="234">
        <v>1.146253</v>
      </c>
      <c r="BD13" s="234">
        <v>1.1651400000000001</v>
      </c>
      <c r="BE13" s="234">
        <v>1.170404</v>
      </c>
      <c r="BF13" s="234">
        <v>1.146377</v>
      </c>
      <c r="BG13" s="234">
        <v>1.154731</v>
      </c>
      <c r="BH13" s="234">
        <v>1.163008</v>
      </c>
      <c r="BI13" s="234">
        <v>1.181913</v>
      </c>
      <c r="BJ13" s="234">
        <v>1.158906</v>
      </c>
      <c r="BK13" s="234">
        <v>1.1537390000000001</v>
      </c>
      <c r="BL13" s="234">
        <v>1.1608670000000001</v>
      </c>
      <c r="BM13" s="234">
        <v>1.168015</v>
      </c>
      <c r="BN13" s="234">
        <v>1.164434</v>
      </c>
      <c r="BO13" s="234">
        <v>3.0475859999999999</v>
      </c>
      <c r="BP13" s="234">
        <v>3.2704749999999998</v>
      </c>
      <c r="BQ13" s="234">
        <v>3.2803879999999999</v>
      </c>
      <c r="BR13" s="234">
        <v>3.0469279999999999</v>
      </c>
      <c r="BS13" s="234">
        <v>3.0574300000000001</v>
      </c>
      <c r="BT13" s="234">
        <v>3.067313</v>
      </c>
      <c r="BU13" s="234">
        <v>3.1046719999999999</v>
      </c>
      <c r="BV13" s="234">
        <v>3.0623990000000001</v>
      </c>
      <c r="BW13" s="234">
        <v>3.0608559999999998</v>
      </c>
      <c r="BX13" s="234">
        <v>3.0697299999999998</v>
      </c>
      <c r="BY13" s="234">
        <v>3.078036</v>
      </c>
      <c r="BZ13" s="234">
        <v>3.0741100000000001</v>
      </c>
      <c r="CA13" s="234">
        <v>0.29064600000000002</v>
      </c>
      <c r="CB13" s="234">
        <v>0.29088399999999998</v>
      </c>
      <c r="CC13" s="234">
        <v>0.29022199999999998</v>
      </c>
      <c r="CD13" s="234">
        <v>0.29646</v>
      </c>
      <c r="CE13" s="234">
        <v>0.29503699999999999</v>
      </c>
      <c r="CF13" s="234">
        <v>0.29036099999999998</v>
      </c>
      <c r="CG13" s="234">
        <v>0.29071599999999997</v>
      </c>
      <c r="CH13" s="234">
        <v>0.29031000000000001</v>
      </c>
      <c r="CI13" s="234">
        <v>1.163996</v>
      </c>
      <c r="CJ13" s="234">
        <v>1.1772640000000001</v>
      </c>
      <c r="CK13" s="234">
        <v>1.182733</v>
      </c>
      <c r="CL13" s="234">
        <v>1.1641049999999999</v>
      </c>
      <c r="CM13" s="234">
        <v>1.172566</v>
      </c>
      <c r="CN13" s="234">
        <v>1.181081</v>
      </c>
      <c r="CO13" s="234">
        <v>1.195144</v>
      </c>
      <c r="CP13" s="234">
        <v>1.176706</v>
      </c>
      <c r="CQ13" s="234">
        <v>1.1720539999999999</v>
      </c>
      <c r="CR13" s="234">
        <v>1.178666</v>
      </c>
      <c r="CS13" s="234">
        <v>1.1858569999999999</v>
      </c>
      <c r="CT13" s="234">
        <v>1.1821539999999999</v>
      </c>
      <c r="CU13" s="234">
        <v>2.3308879999999998</v>
      </c>
      <c r="CV13" s="234">
        <v>2.328338</v>
      </c>
      <c r="CW13" s="234">
        <v>2.405713</v>
      </c>
      <c r="CX13" s="234">
        <v>2.3255560000000002</v>
      </c>
      <c r="CY13" s="234">
        <v>2.3643390000000002</v>
      </c>
      <c r="CZ13" s="234">
        <v>2.3763540000000001</v>
      </c>
      <c r="DA13" s="234">
        <v>2.4148309999999999</v>
      </c>
      <c r="DB13" s="234">
        <v>2.325348</v>
      </c>
      <c r="DC13" s="234">
        <v>0</v>
      </c>
      <c r="DD13" s="234">
        <v>0</v>
      </c>
      <c r="DE13" s="234">
        <v>0</v>
      </c>
      <c r="DF13" s="234">
        <v>0</v>
      </c>
      <c r="DG13" s="234">
        <v>0</v>
      </c>
      <c r="DH13" s="234">
        <v>0</v>
      </c>
      <c r="DI13" s="234">
        <v>0</v>
      </c>
      <c r="DJ13" s="234">
        <v>0</v>
      </c>
      <c r="DK13" s="236"/>
      <c r="DL13" s="234">
        <v>20.0318</v>
      </c>
      <c r="DM13" s="234">
        <v>111.26975295688594</v>
      </c>
      <c r="DN13" s="234">
        <v>138.06232594013491</v>
      </c>
      <c r="DO13" s="234">
        <v>145.55751232415273</v>
      </c>
      <c r="DP13" s="234">
        <v>6.2876909999999997</v>
      </c>
      <c r="DQ13" s="234">
        <v>150.92242072987105</v>
      </c>
      <c r="DR13" s="234">
        <v>159.10843910216565</v>
      </c>
      <c r="DS13" s="234">
        <v>5.3134940049540438</v>
      </c>
      <c r="DT13" s="234">
        <v>5.8798618568858849</v>
      </c>
      <c r="DU13" s="237"/>
      <c r="DV13" s="238">
        <v>42622.5</v>
      </c>
      <c r="DW13" s="238">
        <v>2926.46</v>
      </c>
      <c r="DX13" s="238">
        <v>58622.261428000005</v>
      </c>
      <c r="DY13" s="238">
        <v>7690.9979999999996</v>
      </c>
      <c r="DZ13" s="238">
        <v>154064.53373639999</v>
      </c>
      <c r="EB13" s="239">
        <v>43707</v>
      </c>
      <c r="EC13" s="239">
        <v>43738</v>
      </c>
    </row>
    <row r="14" spans="1:133" x14ac:dyDescent="0.35">
      <c r="A14" s="233">
        <v>43738</v>
      </c>
      <c r="B14" s="234">
        <v>2.752192</v>
      </c>
      <c r="C14" s="234">
        <v>3.0540120000000002</v>
      </c>
      <c r="D14" s="234">
        <v>2.7521900000000001</v>
      </c>
      <c r="E14" s="234">
        <v>3.0825939999999998</v>
      </c>
      <c r="F14" s="234">
        <v>2.789212</v>
      </c>
      <c r="G14" s="234">
        <v>2.7638929999999999</v>
      </c>
      <c r="H14" s="234">
        <v>2.7620650000000002</v>
      </c>
      <c r="I14" s="234">
        <v>2.77359</v>
      </c>
      <c r="J14" s="234">
        <v>2.418056</v>
      </c>
      <c r="K14" s="234">
        <v>2.4784320000000002</v>
      </c>
      <c r="L14" s="234">
        <v>4.7413360000000004</v>
      </c>
      <c r="M14" s="234">
        <v>0</v>
      </c>
      <c r="N14" s="234">
        <v>5.306349</v>
      </c>
      <c r="O14" s="234">
        <v>0</v>
      </c>
      <c r="P14" s="234">
        <v>4.741333</v>
      </c>
      <c r="Q14" s="234">
        <v>5.3567739999999997</v>
      </c>
      <c r="R14" s="234">
        <v>4.8214329999999999</v>
      </c>
      <c r="S14" s="234">
        <v>4.7903460000000004</v>
      </c>
      <c r="T14" s="234">
        <v>5.0711060000000003</v>
      </c>
      <c r="U14" s="234">
        <v>0</v>
      </c>
      <c r="V14" s="234">
        <v>5.120374</v>
      </c>
      <c r="W14" s="234">
        <v>0.62146900000000005</v>
      </c>
      <c r="X14" s="234">
        <v>0.73156699999999997</v>
      </c>
      <c r="Y14" s="234">
        <v>0.75493900000000003</v>
      </c>
      <c r="Z14" s="234">
        <v>0.62146999999999997</v>
      </c>
      <c r="AA14" s="234">
        <v>0.66594600000000004</v>
      </c>
      <c r="AB14" s="234">
        <v>0.743363</v>
      </c>
      <c r="AC14" s="234">
        <v>0.636216</v>
      </c>
      <c r="AD14" s="234">
        <v>0.63089399999999995</v>
      </c>
      <c r="AE14" s="234">
        <v>0.65777200000000002</v>
      </c>
      <c r="AF14" s="234">
        <v>0.725082</v>
      </c>
      <c r="AG14" s="234">
        <v>0.66432000000000002</v>
      </c>
      <c r="AH14" s="234">
        <v>1.0612680000000001</v>
      </c>
      <c r="AI14" s="234">
        <v>1.1559029999999999</v>
      </c>
      <c r="AJ14" s="234">
        <v>1.06101</v>
      </c>
      <c r="AK14" s="234">
        <v>1.173589</v>
      </c>
      <c r="AL14" s="234">
        <v>1.073137</v>
      </c>
      <c r="AM14" s="234">
        <v>1.061024</v>
      </c>
      <c r="AN14" s="234">
        <v>1.07559</v>
      </c>
      <c r="AO14" s="234">
        <v>1.0755840000000001</v>
      </c>
      <c r="AP14" s="234">
        <v>1.225009</v>
      </c>
      <c r="AQ14" s="234">
        <v>1.1879120000000001</v>
      </c>
      <c r="AR14" s="234">
        <v>1.164434</v>
      </c>
      <c r="AS14" s="234">
        <v>1.2250030000000001</v>
      </c>
      <c r="AT14" s="234">
        <v>1.257215</v>
      </c>
      <c r="AU14" s="234">
        <v>1.1940630000000001</v>
      </c>
      <c r="AV14" s="234">
        <v>1.1991670000000001</v>
      </c>
      <c r="AW14" s="234">
        <v>1.184102</v>
      </c>
      <c r="AX14" s="234">
        <v>1.1701520000000001</v>
      </c>
      <c r="AY14" s="234">
        <v>1.261833</v>
      </c>
      <c r="AZ14" s="234">
        <v>1.176212</v>
      </c>
      <c r="BA14" s="234">
        <v>1.1819459999999999</v>
      </c>
      <c r="BB14" s="235"/>
      <c r="BC14" s="234">
        <v>1.1395</v>
      </c>
      <c r="BD14" s="234">
        <v>1.1591720000000001</v>
      </c>
      <c r="BE14" s="234">
        <v>1.1646780000000001</v>
      </c>
      <c r="BF14" s="234">
        <v>1.1396230000000001</v>
      </c>
      <c r="BG14" s="234">
        <v>1.1482079999999999</v>
      </c>
      <c r="BH14" s="234">
        <v>1.156709</v>
      </c>
      <c r="BI14" s="234">
        <v>1.1769529999999999</v>
      </c>
      <c r="BJ14" s="234">
        <v>1.1524890000000001</v>
      </c>
      <c r="BK14" s="234">
        <v>1.147348</v>
      </c>
      <c r="BL14" s="234">
        <v>1.154671</v>
      </c>
      <c r="BM14" s="234">
        <v>1.1620239999999999</v>
      </c>
      <c r="BN14" s="234">
        <v>1.1583429999999999</v>
      </c>
      <c r="BO14" s="234">
        <v>2.9685190000000001</v>
      </c>
      <c r="BP14" s="234">
        <v>3.1870449999999999</v>
      </c>
      <c r="BQ14" s="234">
        <v>3.1974170000000002</v>
      </c>
      <c r="BR14" s="234">
        <v>2.9678779999999998</v>
      </c>
      <c r="BS14" s="234">
        <v>2.9788239999999999</v>
      </c>
      <c r="BT14" s="234">
        <v>2.9891429999999999</v>
      </c>
      <c r="BU14" s="234">
        <v>3.0287109999999999</v>
      </c>
      <c r="BV14" s="234">
        <v>2.9840239999999998</v>
      </c>
      <c r="BW14" s="234">
        <v>2.9825200000000001</v>
      </c>
      <c r="BX14" s="234">
        <v>2.9917560000000001</v>
      </c>
      <c r="BY14" s="234">
        <v>3.0004529999999998</v>
      </c>
      <c r="BZ14" s="234">
        <v>2.9963000000000002</v>
      </c>
      <c r="CA14" s="234">
        <v>0.29103299999999999</v>
      </c>
      <c r="CB14" s="234">
        <v>0.291298</v>
      </c>
      <c r="CC14" s="234">
        <v>0.29052099999999997</v>
      </c>
      <c r="CD14" s="234">
        <v>0.29735</v>
      </c>
      <c r="CE14" s="234">
        <v>0.29576400000000003</v>
      </c>
      <c r="CF14" s="234">
        <v>0.29067500000000002</v>
      </c>
      <c r="CG14" s="234">
        <v>0.291103</v>
      </c>
      <c r="CH14" s="234">
        <v>0.29063299999999997</v>
      </c>
      <c r="CI14" s="234">
        <v>1.150272</v>
      </c>
      <c r="CJ14" s="234">
        <v>1.164013</v>
      </c>
      <c r="CK14" s="234">
        <v>1.169697</v>
      </c>
      <c r="CL14" s="234">
        <v>1.1503810000000001</v>
      </c>
      <c r="CM14" s="234">
        <v>1.159022</v>
      </c>
      <c r="CN14" s="234">
        <v>1.167721</v>
      </c>
      <c r="CO14" s="234">
        <v>1.182817</v>
      </c>
      <c r="CP14" s="234">
        <v>1.163254</v>
      </c>
      <c r="CQ14" s="234">
        <v>1.158657</v>
      </c>
      <c r="CR14" s="234">
        <v>1.1654359999999999</v>
      </c>
      <c r="CS14" s="234">
        <v>1.1727799999999999</v>
      </c>
      <c r="CT14" s="234">
        <v>1.1689989999999999</v>
      </c>
      <c r="CU14" s="234">
        <v>2.3570139999999999</v>
      </c>
      <c r="CV14" s="234">
        <v>2.3544860000000001</v>
      </c>
      <c r="CW14" s="234">
        <v>2.438733</v>
      </c>
      <c r="CX14" s="234">
        <v>2.3515999999999999</v>
      </c>
      <c r="CY14" s="234">
        <v>2.3935979999999999</v>
      </c>
      <c r="CZ14" s="234">
        <v>2.4067699999999999</v>
      </c>
      <c r="DA14" s="234">
        <v>2.4485999999999999</v>
      </c>
      <c r="DB14" s="234">
        <v>2.35128</v>
      </c>
      <c r="DC14" s="234">
        <v>0</v>
      </c>
      <c r="DD14" s="234">
        <v>0</v>
      </c>
      <c r="DE14" s="234">
        <v>0</v>
      </c>
      <c r="DF14" s="234">
        <v>0</v>
      </c>
      <c r="DG14" s="234">
        <v>0</v>
      </c>
      <c r="DH14" s="234">
        <v>0</v>
      </c>
      <c r="DI14" s="234">
        <v>0</v>
      </c>
      <c r="DJ14" s="234">
        <v>0</v>
      </c>
      <c r="DK14" s="236"/>
      <c r="DL14" s="234">
        <v>19.733000000000001</v>
      </c>
      <c r="DM14" s="234">
        <v>111.43263951190895</v>
      </c>
      <c r="DN14" s="234">
        <v>138.74949281685582</v>
      </c>
      <c r="DO14" s="234">
        <v>146.41233924791862</v>
      </c>
      <c r="DP14" s="234">
        <v>6.2914110000000001</v>
      </c>
      <c r="DQ14" s="234">
        <v>151.85294129945999</v>
      </c>
      <c r="DR14" s="234">
        <v>160.23192146938152</v>
      </c>
      <c r="DS14" s="234">
        <v>5.3440355257033527</v>
      </c>
      <c r="DT14" s="234">
        <v>5.9189245558026098</v>
      </c>
      <c r="DU14" s="237"/>
      <c r="DV14" s="238">
        <v>43011.27</v>
      </c>
      <c r="DW14" s="238">
        <v>2976.74</v>
      </c>
      <c r="DX14" s="238">
        <v>58740.010419999999</v>
      </c>
      <c r="DY14" s="238">
        <v>7749.4489999999996</v>
      </c>
      <c r="DZ14" s="238">
        <v>152919.877117</v>
      </c>
      <c r="EB14" s="239">
        <v>43738</v>
      </c>
      <c r="EC14" s="239">
        <v>43769</v>
      </c>
    </row>
    <row r="15" spans="1:133" x14ac:dyDescent="0.35">
      <c r="A15" s="233">
        <v>43769</v>
      </c>
      <c r="B15" s="234">
        <v>2.7694540000000001</v>
      </c>
      <c r="C15" s="234">
        <v>3.077426</v>
      </c>
      <c r="D15" s="234">
        <v>2.7694529999999999</v>
      </c>
      <c r="E15" s="234">
        <v>3.1083699999999999</v>
      </c>
      <c r="F15" s="234">
        <v>2.8095089999999998</v>
      </c>
      <c r="G15" s="234">
        <v>2.782451</v>
      </c>
      <c r="H15" s="234">
        <v>2.779398</v>
      </c>
      <c r="I15" s="234">
        <v>2.7922310000000001</v>
      </c>
      <c r="J15" s="234">
        <v>2.42944</v>
      </c>
      <c r="K15" s="234">
        <v>2.4924729999999999</v>
      </c>
      <c r="L15" s="234">
        <v>4.7615550000000004</v>
      </c>
      <c r="M15" s="234">
        <v>0</v>
      </c>
      <c r="N15" s="234">
        <v>5.3380190000000001</v>
      </c>
      <c r="O15" s="234">
        <v>0</v>
      </c>
      <c r="P15" s="234">
        <v>4.761552</v>
      </c>
      <c r="Q15" s="234">
        <v>5.3924349999999999</v>
      </c>
      <c r="R15" s="234">
        <v>4.8480410000000003</v>
      </c>
      <c r="S15" s="234">
        <v>4.8153759999999997</v>
      </c>
      <c r="T15" s="234">
        <v>5.0968150000000003</v>
      </c>
      <c r="U15" s="234">
        <v>0</v>
      </c>
      <c r="V15" s="234">
        <v>5.1509450000000001</v>
      </c>
      <c r="W15" s="234">
        <v>0.62389300000000003</v>
      </c>
      <c r="X15" s="234">
        <v>0.73565999999999998</v>
      </c>
      <c r="Y15" s="234">
        <v>0.75944800000000001</v>
      </c>
      <c r="Z15" s="234">
        <v>0.62389399999999995</v>
      </c>
      <c r="AA15" s="234">
        <v>0.66891599999999996</v>
      </c>
      <c r="AB15" s="234">
        <v>0.74840499999999999</v>
      </c>
      <c r="AC15" s="234">
        <v>0.63981399999999999</v>
      </c>
      <c r="AD15" s="234">
        <v>0.63411600000000001</v>
      </c>
      <c r="AE15" s="234">
        <v>0.66053499999999998</v>
      </c>
      <c r="AF15" s="234">
        <v>0.72872599999999998</v>
      </c>
      <c r="AG15" s="234">
        <v>0.66764199999999996</v>
      </c>
      <c r="AH15" s="234">
        <v>1.0331429999999999</v>
      </c>
      <c r="AI15" s="234">
        <v>1.125891</v>
      </c>
      <c r="AJ15" s="234">
        <v>1.032891</v>
      </c>
      <c r="AK15" s="234">
        <v>1.144301</v>
      </c>
      <c r="AL15" s="234">
        <v>1.0455779999999999</v>
      </c>
      <c r="AM15" s="234">
        <v>1.032905</v>
      </c>
      <c r="AN15" s="234">
        <v>1.0470919999999999</v>
      </c>
      <c r="AO15" s="234">
        <v>1.047086</v>
      </c>
      <c r="AP15" s="234">
        <v>1.231125</v>
      </c>
      <c r="AQ15" s="234">
        <v>1.195182</v>
      </c>
      <c r="AR15" s="234">
        <v>1.1696169999999999</v>
      </c>
      <c r="AS15" s="234">
        <v>1.2311190000000001</v>
      </c>
      <c r="AT15" s="234">
        <v>1.2638320000000001</v>
      </c>
      <c r="AU15" s="234">
        <v>1.1997009999999999</v>
      </c>
      <c r="AV15" s="234">
        <v>1.207328</v>
      </c>
      <c r="AW15" s="234">
        <v>1.190858</v>
      </c>
      <c r="AX15" s="234">
        <v>1.1758960000000001</v>
      </c>
      <c r="AY15" s="234">
        <v>1.2690079999999999</v>
      </c>
      <c r="AZ15" s="234">
        <v>1.1823330000000001</v>
      </c>
      <c r="BA15" s="234">
        <v>1.1886300000000001</v>
      </c>
      <c r="BB15" s="235"/>
      <c r="BC15" s="234">
        <v>1.134609</v>
      </c>
      <c r="BD15" s="234">
        <v>1.1550739999999999</v>
      </c>
      <c r="BE15" s="234">
        <v>1.160841</v>
      </c>
      <c r="BF15" s="234">
        <v>1.1347320000000001</v>
      </c>
      <c r="BG15" s="234">
        <v>1.1435770000000001</v>
      </c>
      <c r="BH15" s="234">
        <v>1.1523319999999999</v>
      </c>
      <c r="BI15" s="234">
        <v>1.1740349999999999</v>
      </c>
      <c r="BJ15" s="234">
        <v>1.1479790000000001</v>
      </c>
      <c r="BK15" s="234">
        <v>1.142863</v>
      </c>
      <c r="BL15" s="234">
        <v>1.150393</v>
      </c>
      <c r="BM15" s="234">
        <v>1.157983</v>
      </c>
      <c r="BN15" s="234">
        <v>1.154191</v>
      </c>
      <c r="BO15" s="234">
        <v>2.9041139999999999</v>
      </c>
      <c r="BP15" s="234">
        <v>3.1194579999999998</v>
      </c>
      <c r="BQ15" s="234">
        <v>3.1303920000000001</v>
      </c>
      <c r="BR15" s="234">
        <v>2.9034870000000002</v>
      </c>
      <c r="BS15" s="234">
        <v>2.9149449999999999</v>
      </c>
      <c r="BT15" s="234">
        <v>2.9257659999999999</v>
      </c>
      <c r="BU15" s="234">
        <v>2.9678059999999999</v>
      </c>
      <c r="BV15" s="234">
        <v>2.9204080000000001</v>
      </c>
      <c r="BW15" s="234">
        <v>2.918936</v>
      </c>
      <c r="BX15" s="234">
        <v>2.928582</v>
      </c>
      <c r="BY15" s="234">
        <v>2.937735</v>
      </c>
      <c r="BZ15" s="234">
        <v>2.9333809999999998</v>
      </c>
      <c r="CA15" s="234">
        <v>0.28958800000000001</v>
      </c>
      <c r="CB15" s="234">
        <v>0.289877</v>
      </c>
      <c r="CC15" s="234">
        <v>0.289078</v>
      </c>
      <c r="CD15" s="234">
        <v>0.296402</v>
      </c>
      <c r="CE15" s="234">
        <v>0.29474499999999998</v>
      </c>
      <c r="CF15" s="234">
        <v>0.28925000000000001</v>
      </c>
      <c r="CG15" s="234">
        <v>0.289657</v>
      </c>
      <c r="CH15" s="234">
        <v>0.28921200000000002</v>
      </c>
      <c r="CI15" s="234">
        <v>1.1388450000000001</v>
      </c>
      <c r="CJ15" s="234">
        <v>1.1530480000000001</v>
      </c>
      <c r="CK15" s="234">
        <v>1.158981</v>
      </c>
      <c r="CL15" s="234">
        <v>1.138952</v>
      </c>
      <c r="CM15" s="234">
        <v>1.147804</v>
      </c>
      <c r="CN15" s="234">
        <v>1.156717</v>
      </c>
      <c r="CO15" s="234">
        <v>1.1729339999999999</v>
      </c>
      <c r="CP15" s="234">
        <v>1.1521440000000001</v>
      </c>
      <c r="CQ15" s="234">
        <v>1.147597</v>
      </c>
      <c r="CR15" s="234">
        <v>1.1545650000000001</v>
      </c>
      <c r="CS15" s="234">
        <v>1.1620809999999999</v>
      </c>
      <c r="CT15" s="234">
        <v>1.1582079999999999</v>
      </c>
      <c r="CU15" s="234">
        <v>2.366015</v>
      </c>
      <c r="CV15" s="234">
        <v>2.3636200000000001</v>
      </c>
      <c r="CW15" s="234">
        <v>2.454707</v>
      </c>
      <c r="CX15" s="234">
        <v>2.3607260000000001</v>
      </c>
      <c r="CY15" s="234">
        <v>2.4057010000000001</v>
      </c>
      <c r="CZ15" s="234">
        <v>2.420258</v>
      </c>
      <c r="DA15" s="234">
        <v>2.4652419999999999</v>
      </c>
      <c r="DB15" s="234">
        <v>2.360258</v>
      </c>
      <c r="DC15" s="234">
        <v>0</v>
      </c>
      <c r="DD15" s="234">
        <v>0</v>
      </c>
      <c r="DE15" s="234">
        <v>0</v>
      </c>
      <c r="DF15" s="234">
        <v>0</v>
      </c>
      <c r="DG15" s="234">
        <v>0</v>
      </c>
      <c r="DH15" s="234">
        <v>0</v>
      </c>
      <c r="DI15" s="234">
        <v>0</v>
      </c>
      <c r="DJ15" s="234">
        <v>0</v>
      </c>
      <c r="DK15" s="236"/>
      <c r="DL15" s="234">
        <v>19.237500000000001</v>
      </c>
      <c r="DM15" s="234">
        <v>111.59288583822926</v>
      </c>
      <c r="DN15" s="234">
        <v>139.42215806633709</v>
      </c>
      <c r="DO15" s="234">
        <v>147.25327478642674</v>
      </c>
      <c r="DP15" s="234">
        <v>6.3159510000000001</v>
      </c>
      <c r="DQ15" s="234">
        <v>152.76304659431474</v>
      </c>
      <c r="DR15" s="234">
        <v>161.33574137283728</v>
      </c>
      <c r="DS15" s="234">
        <v>5.3744902934917489</v>
      </c>
      <c r="DT15" s="234">
        <v>5.9579562461275657</v>
      </c>
      <c r="DU15" s="237"/>
      <c r="DV15" s="238">
        <v>43337.279999999999</v>
      </c>
      <c r="DW15" s="238">
        <v>3037.56</v>
      </c>
      <c r="DX15" s="238">
        <v>58435.0605</v>
      </c>
      <c r="DY15" s="238">
        <v>8083.8320000000003</v>
      </c>
      <c r="DZ15" s="238">
        <v>155512.7181</v>
      </c>
      <c r="EB15" s="239">
        <v>43769</v>
      </c>
      <c r="EC15" s="239">
        <v>43798</v>
      </c>
    </row>
    <row r="16" spans="1:133" x14ac:dyDescent="0.35">
      <c r="A16" s="233">
        <v>43798</v>
      </c>
      <c r="B16" s="234">
        <v>2.7718569999999998</v>
      </c>
      <c r="C16" s="234">
        <v>3.0843780000000001</v>
      </c>
      <c r="D16" s="234">
        <v>2.7718560000000001</v>
      </c>
      <c r="E16" s="234">
        <v>3.1175419999999998</v>
      </c>
      <c r="F16" s="234">
        <v>2.8147549999999999</v>
      </c>
      <c r="G16" s="234">
        <v>2.7860900000000002</v>
      </c>
      <c r="H16" s="234">
        <v>2.781819</v>
      </c>
      <c r="I16" s="234">
        <v>2.7959079999999998</v>
      </c>
      <c r="J16" s="234">
        <v>2.4409209999999999</v>
      </c>
      <c r="K16" s="234">
        <v>2.5066899999999999</v>
      </c>
      <c r="L16" s="234">
        <v>4.7817639999999999</v>
      </c>
      <c r="M16" s="234">
        <v>0</v>
      </c>
      <c r="N16" s="234">
        <v>5.3698040000000002</v>
      </c>
      <c r="O16" s="234">
        <v>0</v>
      </c>
      <c r="P16" s="234">
        <v>4.7817610000000004</v>
      </c>
      <c r="Q16" s="234">
        <v>5.4282459999999997</v>
      </c>
      <c r="R16" s="234">
        <v>4.8747030000000002</v>
      </c>
      <c r="S16" s="234">
        <v>4.840471</v>
      </c>
      <c r="T16" s="234">
        <v>5.1225560000000003</v>
      </c>
      <c r="U16" s="234">
        <v>0</v>
      </c>
      <c r="V16" s="234">
        <v>5.1815579999999999</v>
      </c>
      <c r="W16" s="234">
        <v>0.62628799999999996</v>
      </c>
      <c r="X16" s="234">
        <v>0.739734</v>
      </c>
      <c r="Y16" s="234">
        <v>0.76384200000000002</v>
      </c>
      <c r="Z16" s="234">
        <v>0.62628899999999998</v>
      </c>
      <c r="AA16" s="234">
        <v>0.67185799999999996</v>
      </c>
      <c r="AB16" s="234">
        <v>0.75344</v>
      </c>
      <c r="AC16" s="234">
        <v>0.64339400000000002</v>
      </c>
      <c r="AD16" s="234">
        <v>0.63733799999999996</v>
      </c>
      <c r="AE16" s="234">
        <v>0.663269</v>
      </c>
      <c r="AF16" s="234">
        <v>0.73234600000000005</v>
      </c>
      <c r="AG16" s="234">
        <v>0.67095899999999997</v>
      </c>
      <c r="AH16" s="234">
        <v>1.0500560000000001</v>
      </c>
      <c r="AI16" s="234">
        <v>1.1445609999999999</v>
      </c>
      <c r="AJ16" s="234">
        <v>1.0498000000000001</v>
      </c>
      <c r="AK16" s="234">
        <v>1.16448</v>
      </c>
      <c r="AL16" s="234">
        <v>1.063588</v>
      </c>
      <c r="AM16" s="234">
        <v>1.0498149999999999</v>
      </c>
      <c r="AN16" s="234">
        <v>1.0642370000000001</v>
      </c>
      <c r="AO16" s="234">
        <v>1.06423</v>
      </c>
      <c r="AP16" s="234">
        <v>1.237225</v>
      </c>
      <c r="AQ16" s="234">
        <v>1.2024520000000001</v>
      </c>
      <c r="AR16" s="234">
        <v>1.1747799999999999</v>
      </c>
      <c r="AS16" s="234">
        <v>1.23722</v>
      </c>
      <c r="AT16" s="234">
        <v>1.270437</v>
      </c>
      <c r="AU16" s="234">
        <v>1.2053210000000001</v>
      </c>
      <c r="AV16" s="234">
        <v>1.215503</v>
      </c>
      <c r="AW16" s="234">
        <v>1.1976089999999999</v>
      </c>
      <c r="AX16" s="234">
        <v>1.181597</v>
      </c>
      <c r="AY16" s="234">
        <v>1.276149</v>
      </c>
      <c r="AZ16" s="234">
        <v>1.188442</v>
      </c>
      <c r="BA16" s="234">
        <v>1.1952780000000001</v>
      </c>
      <c r="BB16" s="235"/>
      <c r="BC16" s="234">
        <v>1.146434</v>
      </c>
      <c r="BD16" s="234">
        <v>1.1679930000000001</v>
      </c>
      <c r="BE16" s="234">
        <v>1.174112</v>
      </c>
      <c r="BF16" s="234">
        <v>1.146558</v>
      </c>
      <c r="BG16" s="234">
        <v>1.155796</v>
      </c>
      <c r="BH16" s="234">
        <v>1.164936</v>
      </c>
      <c r="BI16" s="234">
        <v>1.1884319999999999</v>
      </c>
      <c r="BJ16" s="234">
        <v>1.1603840000000001</v>
      </c>
      <c r="BK16" s="234">
        <v>1.1552070000000001</v>
      </c>
      <c r="BL16" s="234">
        <v>1.1630780000000001</v>
      </c>
      <c r="BM16" s="234">
        <v>1.171009</v>
      </c>
      <c r="BN16" s="234">
        <v>1.167046</v>
      </c>
      <c r="BO16" s="234">
        <v>2.9931369999999999</v>
      </c>
      <c r="BP16" s="234">
        <v>3.2166589999999999</v>
      </c>
      <c r="BQ16" s="234">
        <v>3.2287210000000002</v>
      </c>
      <c r="BR16" s="234">
        <v>2.9924909999999998</v>
      </c>
      <c r="BS16" s="234">
        <v>3.0050720000000002</v>
      </c>
      <c r="BT16" s="234">
        <v>3.0169730000000001</v>
      </c>
      <c r="BU16" s="234">
        <v>3.0637439999999998</v>
      </c>
      <c r="BV16" s="234">
        <v>3.011091</v>
      </c>
      <c r="BW16" s="234">
        <v>3.0095730000000001</v>
      </c>
      <c r="BX16" s="234">
        <v>3.020143</v>
      </c>
      <c r="BY16" s="234">
        <v>3.0302440000000002</v>
      </c>
      <c r="BZ16" s="234">
        <v>3.0254189999999999</v>
      </c>
      <c r="CA16" s="234">
        <v>0.30349199999999998</v>
      </c>
      <c r="CB16" s="234">
        <v>0.30381900000000001</v>
      </c>
      <c r="CC16" s="234">
        <v>0.30295800000000001</v>
      </c>
      <c r="CD16" s="234">
        <v>0.31118899999999999</v>
      </c>
      <c r="CE16" s="234">
        <v>0.30936900000000001</v>
      </c>
      <c r="CF16" s="234">
        <v>0.30315700000000001</v>
      </c>
      <c r="CG16" s="234">
        <v>0.30356499999999997</v>
      </c>
      <c r="CH16" s="234">
        <v>0.303122</v>
      </c>
      <c r="CI16" s="234">
        <v>1.1637120000000001</v>
      </c>
      <c r="CJ16" s="234">
        <v>1.178847</v>
      </c>
      <c r="CK16" s="234">
        <v>1.185211</v>
      </c>
      <c r="CL16" s="234">
        <v>1.1638219999999999</v>
      </c>
      <c r="CM16" s="234">
        <v>1.17317</v>
      </c>
      <c r="CN16" s="234">
        <v>1.1825859999999999</v>
      </c>
      <c r="CO16" s="234">
        <v>1.200458</v>
      </c>
      <c r="CP16" s="234">
        <v>1.1777580000000001</v>
      </c>
      <c r="CQ16" s="234">
        <v>1.1731100000000001</v>
      </c>
      <c r="CR16" s="234">
        <v>1.1804939999999999</v>
      </c>
      <c r="CS16" s="234">
        <v>1.1884319999999999</v>
      </c>
      <c r="CT16" s="234">
        <v>1.1843399999999999</v>
      </c>
      <c r="CU16" s="234">
        <v>2.3446980000000002</v>
      </c>
      <c r="CV16" s="234">
        <v>2.342365</v>
      </c>
      <c r="CW16" s="234">
        <v>2.438631</v>
      </c>
      <c r="CX16" s="234">
        <v>2.3389489999999999</v>
      </c>
      <c r="CY16" s="234">
        <v>2.3869630000000002</v>
      </c>
      <c r="CZ16" s="234">
        <v>2.4020649999999999</v>
      </c>
      <c r="DA16" s="234">
        <v>2.4501719999999998</v>
      </c>
      <c r="DB16" s="234">
        <v>2.3384550000000002</v>
      </c>
      <c r="DC16" s="234">
        <v>0</v>
      </c>
      <c r="DD16" s="234">
        <v>0</v>
      </c>
      <c r="DE16" s="234">
        <v>0</v>
      </c>
      <c r="DF16" s="234">
        <v>0</v>
      </c>
      <c r="DG16" s="234">
        <v>0</v>
      </c>
      <c r="DH16" s="234">
        <v>0</v>
      </c>
      <c r="DI16" s="234">
        <v>0</v>
      </c>
      <c r="DJ16" s="234">
        <v>0</v>
      </c>
      <c r="DK16" s="236"/>
      <c r="DL16" s="234">
        <v>19.567499999999999</v>
      </c>
      <c r="DM16" s="234">
        <v>111.74211032501407</v>
      </c>
      <c r="DN16" s="234">
        <v>140.05672252742511</v>
      </c>
      <c r="DO16" s="234">
        <v>148.04684722646329</v>
      </c>
      <c r="DP16" s="234">
        <v>6.3532250000000001</v>
      </c>
      <c r="DQ16" s="234">
        <v>153.60354038984073</v>
      </c>
      <c r="DR16" s="234">
        <v>162.35856515765732</v>
      </c>
      <c r="DS16" s="234">
        <v>5.4023178366717799</v>
      </c>
      <c r="DT16" s="234">
        <v>5.9937962491767536</v>
      </c>
      <c r="DU16" s="237"/>
      <c r="DV16" s="238">
        <v>42820.18</v>
      </c>
      <c r="DW16" s="238">
        <v>3140.98</v>
      </c>
      <c r="DX16" s="238">
        <v>61461.126149999996</v>
      </c>
      <c r="DY16" s="238">
        <v>8403.6849999999995</v>
      </c>
      <c r="DZ16" s="238">
        <v>164439.10623749997</v>
      </c>
      <c r="EB16" s="239">
        <v>43798</v>
      </c>
      <c r="EC16" s="239">
        <v>43830</v>
      </c>
    </row>
    <row r="17" spans="1:133" x14ac:dyDescent="0.35">
      <c r="A17" s="233">
        <v>43830</v>
      </c>
      <c r="B17" s="234">
        <v>2.7926220000000002</v>
      </c>
      <c r="C17" s="234">
        <v>3.1118410000000001</v>
      </c>
      <c r="D17" s="234">
        <v>2.792621</v>
      </c>
      <c r="E17" s="234">
        <v>3.1474700000000002</v>
      </c>
      <c r="F17" s="234">
        <v>2.8386770000000001</v>
      </c>
      <c r="G17" s="234">
        <v>2.8081480000000001</v>
      </c>
      <c r="H17" s="234">
        <v>2.802667</v>
      </c>
      <c r="I17" s="234">
        <v>2.8180459999999998</v>
      </c>
      <c r="J17" s="234">
        <v>2.4512079999999998</v>
      </c>
      <c r="K17" s="234">
        <v>2.5197470000000002</v>
      </c>
      <c r="L17" s="234">
        <v>4.8007220000000004</v>
      </c>
      <c r="M17" s="234">
        <v>0</v>
      </c>
      <c r="N17" s="234">
        <v>5.4002230000000004</v>
      </c>
      <c r="O17" s="234">
        <v>0</v>
      </c>
      <c r="P17" s="234">
        <v>4.800719</v>
      </c>
      <c r="Q17" s="234">
        <v>5.4627359999999996</v>
      </c>
      <c r="R17" s="234">
        <v>4.9001530000000004</v>
      </c>
      <c r="S17" s="234">
        <v>4.8642960000000004</v>
      </c>
      <c r="T17" s="234">
        <v>5.1469950000000004</v>
      </c>
      <c r="U17" s="234">
        <v>0</v>
      </c>
      <c r="V17" s="234">
        <v>5.2108739999999996</v>
      </c>
      <c r="W17" s="234">
        <v>0.62853800000000004</v>
      </c>
      <c r="X17" s="234">
        <v>0.74366299999999996</v>
      </c>
      <c r="Y17" s="234">
        <v>0.76808799999999999</v>
      </c>
      <c r="Z17" s="234">
        <v>0.62853899999999996</v>
      </c>
      <c r="AA17" s="234">
        <v>0.67464800000000003</v>
      </c>
      <c r="AB17" s="234">
        <v>0.75833899999999999</v>
      </c>
      <c r="AC17" s="234">
        <v>0.646837</v>
      </c>
      <c r="AD17" s="234">
        <v>0.64044599999999996</v>
      </c>
      <c r="AE17" s="234">
        <v>0.665852</v>
      </c>
      <c r="AF17" s="234">
        <v>0.73580500000000004</v>
      </c>
      <c r="AG17" s="234">
        <v>0.67415899999999995</v>
      </c>
      <c r="AH17" s="234">
        <v>1.0141210000000001</v>
      </c>
      <c r="AI17" s="234">
        <v>1.1055410000000001</v>
      </c>
      <c r="AJ17" s="234">
        <v>1.013873</v>
      </c>
      <c r="AK17" s="234">
        <v>1.125945</v>
      </c>
      <c r="AL17" s="234">
        <v>1.028052</v>
      </c>
      <c r="AM17" s="234">
        <v>1.013889</v>
      </c>
      <c r="AN17" s="234">
        <v>1.0278179999999999</v>
      </c>
      <c r="AO17" s="234">
        <v>1.0278080000000001</v>
      </c>
      <c r="AP17" s="234">
        <v>1.2430760000000001</v>
      </c>
      <c r="AQ17" s="234">
        <v>1.209508</v>
      </c>
      <c r="AR17" s="234">
        <v>1.1796979999999999</v>
      </c>
      <c r="AS17" s="234">
        <v>1.2430699999999999</v>
      </c>
      <c r="AT17" s="234">
        <v>1.276788</v>
      </c>
      <c r="AU17" s="234">
        <v>1.2106939999999999</v>
      </c>
      <c r="AV17" s="234">
        <v>1.2234750000000001</v>
      </c>
      <c r="AW17" s="234">
        <v>1.204126</v>
      </c>
      <c r="AX17" s="234">
        <v>1.1870689999999999</v>
      </c>
      <c r="AY17" s="234">
        <v>1.283053</v>
      </c>
      <c r="AZ17" s="234">
        <v>1.194313</v>
      </c>
      <c r="BA17" s="234">
        <v>1.2016960000000001</v>
      </c>
      <c r="BB17" s="235"/>
      <c r="BC17" s="234">
        <v>1.146622</v>
      </c>
      <c r="BD17" s="234">
        <v>1.169068</v>
      </c>
      <c r="BE17" s="234">
        <v>1.1754770000000001</v>
      </c>
      <c r="BF17" s="234">
        <v>1.146746</v>
      </c>
      <c r="BG17" s="234">
        <v>1.1562870000000001</v>
      </c>
      <c r="BH17" s="234">
        <v>1.1657219999999999</v>
      </c>
      <c r="BI17" s="234">
        <v>1.1907939999999999</v>
      </c>
      <c r="BJ17" s="234">
        <v>1.161016</v>
      </c>
      <c r="BK17" s="234">
        <v>1.1558280000000001</v>
      </c>
      <c r="BL17" s="234">
        <v>1.1639649999999999</v>
      </c>
      <c r="BM17" s="234">
        <v>1.1721600000000001</v>
      </c>
      <c r="BN17" s="234">
        <v>1.168064</v>
      </c>
      <c r="BO17" s="234">
        <v>2.9595050000000001</v>
      </c>
      <c r="BP17" s="234">
        <v>3.1819820000000001</v>
      </c>
      <c r="BQ17" s="234">
        <v>3.1946789999999998</v>
      </c>
      <c r="BR17" s="234">
        <v>2.9588649999999999</v>
      </c>
      <c r="BS17" s="234">
        <v>2.9720689999999998</v>
      </c>
      <c r="BT17" s="234">
        <v>2.984578</v>
      </c>
      <c r="BU17" s="234">
        <v>3.0342319999999998</v>
      </c>
      <c r="BV17" s="234">
        <v>2.978405</v>
      </c>
      <c r="BW17" s="234">
        <v>2.9769030000000001</v>
      </c>
      <c r="BX17" s="234">
        <v>2.9879910000000001</v>
      </c>
      <c r="BY17" s="234">
        <v>2.9986250000000001</v>
      </c>
      <c r="BZ17" s="234">
        <v>2.9934919999999998</v>
      </c>
      <c r="CA17" s="234">
        <v>0.30132900000000001</v>
      </c>
      <c r="CB17" s="234">
        <v>0.30167899999999997</v>
      </c>
      <c r="CC17" s="234">
        <v>0.300705</v>
      </c>
      <c r="CD17" s="234">
        <v>0.30953000000000003</v>
      </c>
      <c r="CE17" s="234">
        <v>0.307535</v>
      </c>
      <c r="CF17" s="234">
        <v>0.300927</v>
      </c>
      <c r="CG17" s="234">
        <v>0.30140099999999997</v>
      </c>
      <c r="CH17" s="234">
        <v>0.30089399999999999</v>
      </c>
      <c r="CI17" s="234">
        <v>1.1605479999999999</v>
      </c>
      <c r="CJ17" s="234">
        <v>1.176296</v>
      </c>
      <c r="CK17" s="234">
        <v>1.1829419999999999</v>
      </c>
      <c r="CL17" s="234">
        <v>1.160658</v>
      </c>
      <c r="CM17" s="234">
        <v>1.170283</v>
      </c>
      <c r="CN17" s="234">
        <v>1.1799809999999999</v>
      </c>
      <c r="CO17" s="234">
        <v>1.199106</v>
      </c>
      <c r="CP17" s="234">
        <v>1.1750119999999999</v>
      </c>
      <c r="CQ17" s="234">
        <v>1.1703710000000001</v>
      </c>
      <c r="CR17" s="234">
        <v>1.1780079999999999</v>
      </c>
      <c r="CS17" s="234">
        <v>1.1861710000000001</v>
      </c>
      <c r="CT17" s="234">
        <v>1.1819569999999999</v>
      </c>
      <c r="CU17" s="234">
        <v>2.3706390000000002</v>
      </c>
      <c r="CV17" s="234">
        <v>2.368306</v>
      </c>
      <c r="CW17" s="234">
        <v>2.4722029999999999</v>
      </c>
      <c r="CX17" s="234">
        <v>2.3647480000000001</v>
      </c>
      <c r="CY17" s="234">
        <v>2.4163459999999999</v>
      </c>
      <c r="CZ17" s="234">
        <v>2.4327399999999999</v>
      </c>
      <c r="DA17" s="234">
        <v>2.4845060000000001</v>
      </c>
      <c r="DB17" s="234">
        <v>2.3642259999999999</v>
      </c>
      <c r="DC17" s="234">
        <v>0</v>
      </c>
      <c r="DD17" s="234">
        <v>0</v>
      </c>
      <c r="DE17" s="234">
        <v>0</v>
      </c>
      <c r="DF17" s="234">
        <v>0</v>
      </c>
      <c r="DG17" s="234">
        <v>0</v>
      </c>
      <c r="DH17" s="234">
        <v>0</v>
      </c>
      <c r="DI17" s="234">
        <v>0</v>
      </c>
      <c r="DJ17" s="234">
        <v>0</v>
      </c>
      <c r="DK17" s="236"/>
      <c r="DL17" s="234">
        <v>18.907499999999999</v>
      </c>
      <c r="DM17" s="234">
        <v>111.9020257006792</v>
      </c>
      <c r="DN17" s="234">
        <v>140.70534077130768</v>
      </c>
      <c r="DO17" s="234">
        <v>148.86932971105475</v>
      </c>
      <c r="DP17" s="234">
        <v>6.3990179999999999</v>
      </c>
      <c r="DQ17" s="234">
        <v>154.51287334894857</v>
      </c>
      <c r="DR17" s="234">
        <v>163.46981933695861</v>
      </c>
      <c r="DS17" s="234">
        <v>5.4316488209796834</v>
      </c>
      <c r="DT17" s="234">
        <v>6.0318794985893005</v>
      </c>
      <c r="DU17" s="237"/>
      <c r="DV17" s="238">
        <v>43541.02</v>
      </c>
      <c r="DW17" s="238">
        <v>3230.78</v>
      </c>
      <c r="DX17" s="238">
        <v>61085.972849999998</v>
      </c>
      <c r="DY17" s="238">
        <v>8733.0730000000003</v>
      </c>
      <c r="DZ17" s="238">
        <v>165120.57774750001</v>
      </c>
      <c r="EB17" s="239">
        <v>43830</v>
      </c>
      <c r="EC17" s="239">
        <v>43861</v>
      </c>
    </row>
    <row r="18" spans="1:133" x14ac:dyDescent="0.35">
      <c r="A18" s="233">
        <v>43861</v>
      </c>
      <c r="B18" s="234">
        <v>2.8141959999999999</v>
      </c>
      <c r="C18" s="234">
        <v>3.1416759999999999</v>
      </c>
      <c r="D18" s="234">
        <v>2.8141949999999998</v>
      </c>
      <c r="E18" s="234">
        <v>3.1799740000000001</v>
      </c>
      <c r="F18" s="234">
        <v>2.8636650000000001</v>
      </c>
      <c r="G18" s="234">
        <v>2.8316089999999998</v>
      </c>
      <c r="H18" s="234">
        <v>2.8243330000000002</v>
      </c>
      <c r="I18" s="234">
        <v>2.8415940000000002</v>
      </c>
      <c r="J18" s="234">
        <v>2.46231</v>
      </c>
      <c r="K18" s="234">
        <v>2.5348250000000001</v>
      </c>
      <c r="L18" s="234">
        <v>4.818988</v>
      </c>
      <c r="M18" s="234">
        <v>0</v>
      </c>
      <c r="N18" s="234">
        <v>5.4325749999999999</v>
      </c>
      <c r="O18" s="234">
        <v>0</v>
      </c>
      <c r="P18" s="234">
        <v>4.8189849999999996</v>
      </c>
      <c r="Q18" s="234">
        <v>5.499441</v>
      </c>
      <c r="R18" s="234">
        <v>4.925376</v>
      </c>
      <c r="S18" s="234">
        <v>4.8896009999999999</v>
      </c>
      <c r="T18" s="234">
        <v>5.1711210000000003</v>
      </c>
      <c r="U18" s="234">
        <v>0</v>
      </c>
      <c r="V18" s="234">
        <v>5.2420499999999999</v>
      </c>
      <c r="W18" s="234">
        <v>0.630637</v>
      </c>
      <c r="X18" s="234">
        <v>0.74778500000000003</v>
      </c>
      <c r="Y18" s="234">
        <v>0.772559</v>
      </c>
      <c r="Z18" s="234">
        <v>0.63063800000000003</v>
      </c>
      <c r="AA18" s="234">
        <v>0.67732099999999995</v>
      </c>
      <c r="AB18" s="234">
        <v>0.76349900000000004</v>
      </c>
      <c r="AC18" s="234">
        <v>0.65021300000000004</v>
      </c>
      <c r="AD18" s="234">
        <v>0.64353400000000005</v>
      </c>
      <c r="AE18" s="234">
        <v>0.66830400000000001</v>
      </c>
      <c r="AF18" s="234">
        <v>0.73918799999999996</v>
      </c>
      <c r="AG18" s="234">
        <v>0.67734300000000003</v>
      </c>
      <c r="AH18" s="234">
        <v>1.011409</v>
      </c>
      <c r="AI18" s="234">
        <v>1.1028519999999999</v>
      </c>
      <c r="AJ18" s="234">
        <v>1.0111619999999999</v>
      </c>
      <c r="AK18" s="234">
        <v>1.1244400000000001</v>
      </c>
      <c r="AL18" s="234">
        <v>1.026219</v>
      </c>
      <c r="AM18" s="234">
        <v>1.0111790000000001</v>
      </c>
      <c r="AN18" s="234">
        <v>1.025074</v>
      </c>
      <c r="AO18" s="234">
        <v>1.0250570000000001</v>
      </c>
      <c r="AP18" s="234">
        <v>1.248696</v>
      </c>
      <c r="AQ18" s="234">
        <v>1.216874</v>
      </c>
      <c r="AR18" s="234">
        <v>1.184329</v>
      </c>
      <c r="AS18" s="234">
        <v>1.248691</v>
      </c>
      <c r="AT18" s="234">
        <v>1.2829410000000001</v>
      </c>
      <c r="AU18" s="234">
        <v>1.215808</v>
      </c>
      <c r="AV18" s="234">
        <v>1.231822</v>
      </c>
      <c r="AW18" s="234">
        <v>1.210469</v>
      </c>
      <c r="AX18" s="234">
        <v>1.192539</v>
      </c>
      <c r="AY18" s="234">
        <v>1.290044</v>
      </c>
      <c r="AZ18" s="234">
        <v>1.1999629999999999</v>
      </c>
      <c r="BA18" s="234">
        <v>1.208178</v>
      </c>
      <c r="BB18" s="235"/>
      <c r="BC18" s="234">
        <v>1.1510469999999999</v>
      </c>
      <c r="BD18" s="234">
        <v>1.174804</v>
      </c>
      <c r="BE18" s="234">
        <v>1.181551</v>
      </c>
      <c r="BF18" s="234">
        <v>1.1511720000000001</v>
      </c>
      <c r="BG18" s="234">
        <v>1.1610720000000001</v>
      </c>
      <c r="BH18" s="234">
        <v>1.17086</v>
      </c>
      <c r="BI18" s="234">
        <v>1.1977150000000001</v>
      </c>
      <c r="BJ18" s="234">
        <v>1.165972</v>
      </c>
      <c r="BK18" s="234">
        <v>1.160752</v>
      </c>
      <c r="BL18" s="234">
        <v>1.1692</v>
      </c>
      <c r="BM18" s="234">
        <v>1.1777139999999999</v>
      </c>
      <c r="BN18" s="234">
        <v>1.173462</v>
      </c>
      <c r="BO18" s="234">
        <v>2.948779</v>
      </c>
      <c r="BP18" s="234">
        <v>3.1723940000000002</v>
      </c>
      <c r="BQ18" s="234">
        <v>3.185854</v>
      </c>
      <c r="BR18" s="234">
        <v>2.9481419999999998</v>
      </c>
      <c r="BS18" s="234">
        <v>2.9621080000000002</v>
      </c>
      <c r="BT18" s="234">
        <v>2.9753569999999998</v>
      </c>
      <c r="BU18" s="234">
        <v>3.0284520000000001</v>
      </c>
      <c r="BV18" s="234">
        <v>2.9688279999999998</v>
      </c>
      <c r="BW18" s="234">
        <v>2.9673310000000002</v>
      </c>
      <c r="BX18" s="234">
        <v>2.9790640000000002</v>
      </c>
      <c r="BY18" s="234">
        <v>2.990335</v>
      </c>
      <c r="BZ18" s="234">
        <v>2.9848490000000001</v>
      </c>
      <c r="CA18" s="234">
        <v>0.30019400000000002</v>
      </c>
      <c r="CB18" s="234">
        <v>0.30058299999999999</v>
      </c>
      <c r="CC18" s="234">
        <v>0.299572</v>
      </c>
      <c r="CD18" s="234">
        <v>0.30896200000000001</v>
      </c>
      <c r="CE18" s="234">
        <v>0.30687500000000001</v>
      </c>
      <c r="CF18" s="234">
        <v>0.29982500000000001</v>
      </c>
      <c r="CG18" s="234">
        <v>0.300265</v>
      </c>
      <c r="CH18" s="234">
        <v>0.29979800000000001</v>
      </c>
      <c r="CI18" s="234">
        <v>1.162922</v>
      </c>
      <c r="CJ18" s="234">
        <v>1.179559</v>
      </c>
      <c r="CK18" s="234">
        <v>1.1865429999999999</v>
      </c>
      <c r="CL18" s="234">
        <v>1.1630320000000001</v>
      </c>
      <c r="CM18" s="234">
        <v>1.173</v>
      </c>
      <c r="CN18" s="234">
        <v>1.183047</v>
      </c>
      <c r="CO18" s="234">
        <v>1.2036020000000001</v>
      </c>
      <c r="CP18" s="234">
        <v>1.177902</v>
      </c>
      <c r="CQ18" s="234">
        <v>1.1732419999999999</v>
      </c>
      <c r="CR18" s="234">
        <v>1.181179</v>
      </c>
      <c r="CS18" s="234">
        <v>1.1896389999999999</v>
      </c>
      <c r="CT18" s="234">
        <v>1.1852780000000001</v>
      </c>
      <c r="CU18" s="234">
        <v>2.3982969999999999</v>
      </c>
      <c r="CV18" s="234">
        <v>2.3959730000000001</v>
      </c>
      <c r="CW18" s="234">
        <v>2.508108</v>
      </c>
      <c r="CX18" s="234">
        <v>2.392239</v>
      </c>
      <c r="CY18" s="234">
        <v>2.4477359999999999</v>
      </c>
      <c r="CZ18" s="234">
        <v>2.4655290000000001</v>
      </c>
      <c r="DA18" s="234">
        <v>2.5212840000000001</v>
      </c>
      <c r="DB18" s="234">
        <v>2.3916819999999999</v>
      </c>
      <c r="DC18" s="234">
        <v>0</v>
      </c>
      <c r="DD18" s="234">
        <v>0</v>
      </c>
      <c r="DE18" s="234">
        <v>0</v>
      </c>
      <c r="DF18" s="234">
        <v>0</v>
      </c>
      <c r="DG18" s="234">
        <v>0</v>
      </c>
      <c r="DH18" s="234">
        <v>0</v>
      </c>
      <c r="DI18" s="234">
        <v>0</v>
      </c>
      <c r="DJ18" s="234">
        <v>0</v>
      </c>
      <c r="DK18" s="236"/>
      <c r="DL18" s="234">
        <v>18.869499999999999</v>
      </c>
      <c r="DM18" s="234">
        <v>112.0658378327466</v>
      </c>
      <c r="DN18" s="234">
        <v>141.28692284649574</v>
      </c>
      <c r="DO18" s="234">
        <v>149.67053617304134</v>
      </c>
      <c r="DP18" s="234">
        <v>6.4402160000000004</v>
      </c>
      <c r="DQ18" s="234">
        <v>155.32183408141552</v>
      </c>
      <c r="DR18" s="234">
        <v>164.52978489050932</v>
      </c>
      <c r="DS18" s="234">
        <v>5.458016835620696</v>
      </c>
      <c r="DT18" s="234">
        <v>6.0686928131541293</v>
      </c>
      <c r="DU18" s="237"/>
      <c r="DV18" s="238">
        <v>44108.31</v>
      </c>
      <c r="DW18" s="238">
        <v>3225.52</v>
      </c>
      <c r="DX18" s="238">
        <v>60863.949639999992</v>
      </c>
      <c r="DY18" s="238">
        <v>9126.232</v>
      </c>
      <c r="DZ18" s="238">
        <v>172207.43472399999</v>
      </c>
      <c r="EB18" s="239">
        <v>43861</v>
      </c>
      <c r="EC18" s="239">
        <v>43889</v>
      </c>
    </row>
    <row r="19" spans="1:133" x14ac:dyDescent="0.35">
      <c r="A19" s="233">
        <v>43889</v>
      </c>
      <c r="B19" s="234">
        <v>2.8123960000000001</v>
      </c>
      <c r="C19" s="234">
        <v>3.1443690000000002</v>
      </c>
      <c r="D19" s="234">
        <v>2.812395</v>
      </c>
      <c r="E19" s="234">
        <v>3.1846070000000002</v>
      </c>
      <c r="F19" s="234">
        <v>2.8643369999999999</v>
      </c>
      <c r="G19" s="234">
        <v>2.8312599999999999</v>
      </c>
      <c r="H19" s="234">
        <v>2.8225370000000001</v>
      </c>
      <c r="I19" s="234">
        <v>2.8412519999999999</v>
      </c>
      <c r="J19" s="234">
        <v>2.4698959999999999</v>
      </c>
      <c r="K19" s="234">
        <v>2.5456449999999999</v>
      </c>
      <c r="L19" s="234">
        <v>4.8330739999999999</v>
      </c>
      <c r="M19" s="234">
        <v>0</v>
      </c>
      <c r="N19" s="234">
        <v>5.4582709999999999</v>
      </c>
      <c r="O19" s="234">
        <v>0</v>
      </c>
      <c r="P19" s="234">
        <v>4.8330710000000003</v>
      </c>
      <c r="Q19" s="234">
        <v>5.5287240000000004</v>
      </c>
      <c r="R19" s="234">
        <v>4.9451869999999998</v>
      </c>
      <c r="S19" s="234">
        <v>4.9095750000000002</v>
      </c>
      <c r="T19" s="234">
        <v>5.1899769999999998</v>
      </c>
      <c r="U19" s="234">
        <v>0</v>
      </c>
      <c r="V19" s="234">
        <v>5.2668059999999999</v>
      </c>
      <c r="W19" s="234">
        <v>0.63230900000000001</v>
      </c>
      <c r="X19" s="234">
        <v>0.751112</v>
      </c>
      <c r="Y19" s="234">
        <v>0.77616200000000002</v>
      </c>
      <c r="Z19" s="234">
        <v>0.63230900000000001</v>
      </c>
      <c r="AA19" s="234">
        <v>0.67946099999999998</v>
      </c>
      <c r="AB19" s="234">
        <v>0.76768499999999995</v>
      </c>
      <c r="AC19" s="234">
        <v>0.65293699999999999</v>
      </c>
      <c r="AD19" s="234">
        <v>0.646011</v>
      </c>
      <c r="AE19" s="234">
        <v>0.67026200000000002</v>
      </c>
      <c r="AF19" s="234">
        <v>0.74190699999999998</v>
      </c>
      <c r="AG19" s="234">
        <v>0.67989599999999994</v>
      </c>
      <c r="AH19" s="234">
        <v>1.0574570000000001</v>
      </c>
      <c r="AI19" s="234">
        <v>1.1532739999999999</v>
      </c>
      <c r="AJ19" s="234">
        <v>1.057199</v>
      </c>
      <c r="AK19" s="234">
        <v>1.1769069999999999</v>
      </c>
      <c r="AL19" s="234">
        <v>1.073725</v>
      </c>
      <c r="AM19" s="234">
        <v>1.0572170000000001</v>
      </c>
      <c r="AN19" s="234">
        <v>1.0717460000000001</v>
      </c>
      <c r="AO19" s="234">
        <v>1.071728</v>
      </c>
      <c r="AP19" s="234">
        <v>1.253201</v>
      </c>
      <c r="AQ19" s="234">
        <v>1.222826</v>
      </c>
      <c r="AR19" s="234">
        <v>1.188024</v>
      </c>
      <c r="AS19" s="234">
        <v>1.253196</v>
      </c>
      <c r="AT19" s="234">
        <v>1.287882</v>
      </c>
      <c r="AU19" s="234">
        <v>1.2198979999999999</v>
      </c>
      <c r="AV19" s="234">
        <v>1.238586</v>
      </c>
      <c r="AW19" s="234">
        <v>1.215576</v>
      </c>
      <c r="AX19" s="234">
        <v>1.196909</v>
      </c>
      <c r="AY19" s="234">
        <v>1.29566</v>
      </c>
      <c r="AZ19" s="234">
        <v>1.2044980000000001</v>
      </c>
      <c r="BA19" s="234">
        <v>1.2133890000000001</v>
      </c>
      <c r="BB19" s="235"/>
      <c r="BC19" s="234">
        <v>1.1308849999999999</v>
      </c>
      <c r="BD19" s="234">
        <v>1.1552070000000001</v>
      </c>
      <c r="BE19" s="234">
        <v>1.162091</v>
      </c>
      <c r="BF19" s="234">
        <v>1.1310070000000001</v>
      </c>
      <c r="BG19" s="234">
        <v>1.140995</v>
      </c>
      <c r="BH19" s="234">
        <v>1.150865</v>
      </c>
      <c r="BI19" s="234">
        <v>1.178609</v>
      </c>
      <c r="BJ19" s="234">
        <v>1.1459299999999999</v>
      </c>
      <c r="BK19" s="234">
        <v>1.1407970000000001</v>
      </c>
      <c r="BL19" s="234">
        <v>1.1493180000000001</v>
      </c>
      <c r="BM19" s="234">
        <v>1.157913</v>
      </c>
      <c r="BN19" s="234">
        <v>1.1536230000000001</v>
      </c>
      <c r="BO19" s="234">
        <v>2.8980959999999998</v>
      </c>
      <c r="BP19" s="234">
        <v>3.1195379999999999</v>
      </c>
      <c r="BQ19" s="234">
        <v>3.1334369999999998</v>
      </c>
      <c r="BR19" s="234">
        <v>2.8974700000000002</v>
      </c>
      <c r="BS19" s="234">
        <v>2.911848</v>
      </c>
      <c r="BT19" s="234">
        <v>2.9255019999999998</v>
      </c>
      <c r="BU19" s="234">
        <v>2.9806059999999999</v>
      </c>
      <c r="BV19" s="234">
        <v>2.9187820000000002</v>
      </c>
      <c r="BW19" s="234">
        <v>2.9173079999999998</v>
      </c>
      <c r="BX19" s="234">
        <v>2.9293830000000001</v>
      </c>
      <c r="BY19" s="234">
        <v>2.941014</v>
      </c>
      <c r="BZ19" s="234">
        <v>2.9353359999999999</v>
      </c>
      <c r="CA19" s="234">
        <v>0.28966399999999998</v>
      </c>
      <c r="CB19" s="234">
        <v>0.290074</v>
      </c>
      <c r="CC19" s="234">
        <v>0.28906399999999999</v>
      </c>
      <c r="CD19" s="234">
        <v>0.29859799999999997</v>
      </c>
      <c r="CE19" s="234">
        <v>0.29650399999999999</v>
      </c>
      <c r="CF19" s="234">
        <v>0.28933399999999998</v>
      </c>
      <c r="CG19" s="234">
        <v>0.28973300000000002</v>
      </c>
      <c r="CH19" s="234">
        <v>0.28931600000000002</v>
      </c>
      <c r="CI19" s="234">
        <v>1.133359</v>
      </c>
      <c r="CJ19" s="234">
        <v>1.1502699999999999</v>
      </c>
      <c r="CK19" s="234">
        <v>1.1573359999999999</v>
      </c>
      <c r="CL19" s="234">
        <v>1.1334660000000001</v>
      </c>
      <c r="CM19" s="234">
        <v>1.1434390000000001</v>
      </c>
      <c r="CN19" s="234">
        <v>1.1534930000000001</v>
      </c>
      <c r="CO19" s="234">
        <v>1.1746369999999999</v>
      </c>
      <c r="CP19" s="234">
        <v>1.148347</v>
      </c>
      <c r="CQ19" s="234">
        <v>1.1437980000000001</v>
      </c>
      <c r="CR19" s="234">
        <v>1.1517539999999999</v>
      </c>
      <c r="CS19" s="234">
        <v>1.1602319999999999</v>
      </c>
      <c r="CT19" s="234">
        <v>1.155867</v>
      </c>
      <c r="CU19" s="234">
        <v>2.2296969999999998</v>
      </c>
      <c r="CV19" s="234">
        <v>2.2275670000000001</v>
      </c>
      <c r="CW19" s="234">
        <v>2.3372250000000001</v>
      </c>
      <c r="CX19" s="234">
        <v>2.224046</v>
      </c>
      <c r="CY19" s="234">
        <v>2.278098</v>
      </c>
      <c r="CZ19" s="234">
        <v>2.2956029999999998</v>
      </c>
      <c r="DA19" s="234">
        <v>2.3499919999999999</v>
      </c>
      <c r="DB19" s="234">
        <v>2.2234919999999998</v>
      </c>
      <c r="DC19" s="234">
        <v>0</v>
      </c>
      <c r="DD19" s="234">
        <v>0</v>
      </c>
      <c r="DE19" s="234">
        <v>0</v>
      </c>
      <c r="DF19" s="234">
        <v>0</v>
      </c>
      <c r="DG19" s="234">
        <v>0</v>
      </c>
      <c r="DH19" s="234">
        <v>0</v>
      </c>
      <c r="DI19" s="234">
        <v>0</v>
      </c>
      <c r="DJ19" s="234">
        <v>0</v>
      </c>
      <c r="DK19" s="236"/>
      <c r="DL19" s="234">
        <v>19.736999999999998</v>
      </c>
      <c r="DM19" s="234">
        <v>112.21139890433159</v>
      </c>
      <c r="DN19" s="234">
        <v>141.80889953367864</v>
      </c>
      <c r="DO19" s="234">
        <v>150.39228075858691</v>
      </c>
      <c r="DP19" s="234">
        <v>6.4597899999999999</v>
      </c>
      <c r="DQ19" s="234">
        <v>156.03942095487167</v>
      </c>
      <c r="DR19" s="234">
        <v>165.47546553188553</v>
      </c>
      <c r="DS19" s="234">
        <v>5.4814180828034198</v>
      </c>
      <c r="DT19" s="234">
        <v>6.1015564704853631</v>
      </c>
      <c r="DU19" s="237"/>
      <c r="DV19" s="238">
        <v>41324.31</v>
      </c>
      <c r="DW19" s="238">
        <v>2954.22</v>
      </c>
      <c r="DX19" s="238">
        <v>58307.440139999992</v>
      </c>
      <c r="DY19" s="238">
        <v>8461.8340000000007</v>
      </c>
      <c r="DZ19" s="238">
        <v>167011.21765800001</v>
      </c>
      <c r="EB19" s="239">
        <v>43889</v>
      </c>
      <c r="EC19" s="239">
        <v>43921</v>
      </c>
    </row>
    <row r="20" spans="1:133" x14ac:dyDescent="0.35">
      <c r="A20" s="233">
        <v>43921</v>
      </c>
      <c r="B20" s="234">
        <v>2.81487</v>
      </c>
      <c r="C20" s="234">
        <v>3.1524130000000001</v>
      </c>
      <c r="D20" s="234">
        <v>2.8148689999999998</v>
      </c>
      <c r="E20" s="234">
        <v>3.1948799999999999</v>
      </c>
      <c r="F20" s="234">
        <v>2.8696480000000002</v>
      </c>
      <c r="G20" s="234">
        <v>2.8353649999999999</v>
      </c>
      <c r="H20" s="234">
        <v>2.8250320000000002</v>
      </c>
      <c r="I20" s="234">
        <v>2.8453840000000001</v>
      </c>
      <c r="J20" s="234">
        <v>2.4785249999999999</v>
      </c>
      <c r="K20" s="234">
        <v>2.5579019999999999</v>
      </c>
      <c r="L20" s="234">
        <v>4.8476109999999997</v>
      </c>
      <c r="M20" s="234">
        <v>0</v>
      </c>
      <c r="N20" s="234">
        <v>5.4856889999999998</v>
      </c>
      <c r="O20" s="234">
        <v>0</v>
      </c>
      <c r="P20" s="234">
        <v>4.847607</v>
      </c>
      <c r="Q20" s="234">
        <v>5.5601630000000002</v>
      </c>
      <c r="R20" s="234">
        <v>4.9661090000000003</v>
      </c>
      <c r="S20" s="234">
        <v>4.93072</v>
      </c>
      <c r="T20" s="234">
        <v>5.2097670000000003</v>
      </c>
      <c r="U20" s="234">
        <v>0</v>
      </c>
      <c r="V20" s="234">
        <v>5.2932379999999997</v>
      </c>
      <c r="W20" s="234">
        <v>0.63402700000000001</v>
      </c>
      <c r="X20" s="234">
        <v>0.75465800000000005</v>
      </c>
      <c r="Y20" s="234">
        <v>0.78000899999999995</v>
      </c>
      <c r="Z20" s="234">
        <v>0.63402700000000001</v>
      </c>
      <c r="AA20" s="234">
        <v>0.68169199999999996</v>
      </c>
      <c r="AB20" s="234">
        <v>0.77218900000000001</v>
      </c>
      <c r="AC20" s="234">
        <v>0.655829</v>
      </c>
      <c r="AD20" s="234">
        <v>0.64864900000000003</v>
      </c>
      <c r="AE20" s="234">
        <v>0.672292</v>
      </c>
      <c r="AF20" s="234">
        <v>0.74477199999999999</v>
      </c>
      <c r="AG20" s="234">
        <v>0.682612</v>
      </c>
      <c r="AH20" s="234">
        <v>1.2694829999999999</v>
      </c>
      <c r="AI20" s="234">
        <v>1.3847609999999999</v>
      </c>
      <c r="AJ20" s="234">
        <v>1.269174</v>
      </c>
      <c r="AK20" s="234">
        <v>1.4145490000000001</v>
      </c>
      <c r="AL20" s="234">
        <v>1.2900590000000001</v>
      </c>
      <c r="AM20" s="234">
        <v>1.269196</v>
      </c>
      <c r="AN20" s="234">
        <v>1.2866409999999999</v>
      </c>
      <c r="AO20" s="234">
        <v>1.2866219999999999</v>
      </c>
      <c r="AP20" s="234">
        <v>1.258059</v>
      </c>
      <c r="AQ20" s="234">
        <v>1.229311</v>
      </c>
      <c r="AR20" s="234">
        <v>1.1919850000000001</v>
      </c>
      <c r="AS20" s="234">
        <v>1.258054</v>
      </c>
      <c r="AT20" s="234">
        <v>1.293223</v>
      </c>
      <c r="AU20" s="234">
        <v>1.2242960000000001</v>
      </c>
      <c r="AV20" s="234">
        <v>1.245976</v>
      </c>
      <c r="AW20" s="234">
        <v>1.221115</v>
      </c>
      <c r="AX20" s="234">
        <v>1.201579</v>
      </c>
      <c r="AY20" s="234">
        <v>1.3017099999999999</v>
      </c>
      <c r="AZ20" s="234">
        <v>1.2093970000000001</v>
      </c>
      <c r="BA20" s="234">
        <v>1.2189909999999999</v>
      </c>
      <c r="BB20" s="235"/>
      <c r="BC20" s="234">
        <v>1.1496519999999999</v>
      </c>
      <c r="BD20" s="234">
        <v>1.175519</v>
      </c>
      <c r="BE20" s="234">
        <v>1.182803</v>
      </c>
      <c r="BF20" s="234">
        <v>1.149777</v>
      </c>
      <c r="BG20" s="234">
        <v>1.1602239999999999</v>
      </c>
      <c r="BH20" s="234">
        <v>1.170547</v>
      </c>
      <c r="BI20" s="234">
        <v>1.200291</v>
      </c>
      <c r="BJ20" s="234">
        <v>1.1653789999999999</v>
      </c>
      <c r="BK20" s="234">
        <v>1.160156</v>
      </c>
      <c r="BL20" s="234">
        <v>1.1690670000000001</v>
      </c>
      <c r="BM20" s="234">
        <v>1.1780679999999999</v>
      </c>
      <c r="BN20" s="234">
        <v>1.1735739999999999</v>
      </c>
      <c r="BO20" s="234">
        <v>3.10107</v>
      </c>
      <c r="BP20" s="234">
        <v>3.339877</v>
      </c>
      <c r="BQ20" s="234">
        <v>3.3555450000000002</v>
      </c>
      <c r="BR20" s="234">
        <v>3.1003989999999999</v>
      </c>
      <c r="BS20" s="234">
        <v>3.1165600000000002</v>
      </c>
      <c r="BT20" s="234">
        <v>3.131923</v>
      </c>
      <c r="BU20" s="234">
        <v>3.1943630000000001</v>
      </c>
      <c r="BV20" s="234">
        <v>3.1243690000000002</v>
      </c>
      <c r="BW20" s="234">
        <v>3.1227909999999999</v>
      </c>
      <c r="BX20" s="234">
        <v>3.1363569999999998</v>
      </c>
      <c r="BY20" s="234">
        <v>3.1494620000000002</v>
      </c>
      <c r="BZ20" s="234">
        <v>3.143046</v>
      </c>
      <c r="CA20" s="234">
        <v>0.30277999999999999</v>
      </c>
      <c r="CB20" s="234">
        <v>0.30324299999999998</v>
      </c>
      <c r="CC20" s="234">
        <v>0.30200100000000002</v>
      </c>
      <c r="CD20" s="234">
        <v>0.312668</v>
      </c>
      <c r="CE20" s="234">
        <v>0.31023200000000001</v>
      </c>
      <c r="CF20" s="234">
        <v>0.30231200000000003</v>
      </c>
      <c r="CG20" s="234">
        <v>0.30285299999999998</v>
      </c>
      <c r="CH20" s="234">
        <v>0.30229699999999998</v>
      </c>
      <c r="CI20" s="234">
        <v>1.160212</v>
      </c>
      <c r="CJ20" s="234">
        <v>1.178383</v>
      </c>
      <c r="CK20" s="234">
        <v>1.1859170000000001</v>
      </c>
      <c r="CL20" s="234">
        <v>1.1603220000000001</v>
      </c>
      <c r="CM20" s="234">
        <v>1.1708259999999999</v>
      </c>
      <c r="CN20" s="234">
        <v>1.1814169999999999</v>
      </c>
      <c r="CO20" s="234">
        <v>1.204332</v>
      </c>
      <c r="CP20" s="234">
        <v>1.175999</v>
      </c>
      <c r="CQ20" s="234">
        <v>1.171341</v>
      </c>
      <c r="CR20" s="234">
        <v>1.1797409999999999</v>
      </c>
      <c r="CS20" s="234">
        <v>1.188671</v>
      </c>
      <c r="CT20" s="234">
        <v>1.1840710000000001</v>
      </c>
      <c r="CU20" s="234">
        <v>1.826654</v>
      </c>
      <c r="CV20" s="234">
        <v>1.825043</v>
      </c>
      <c r="CW20" s="234">
        <v>1.9195960000000001</v>
      </c>
      <c r="CX20" s="234">
        <v>1.8219959999999999</v>
      </c>
      <c r="CY20" s="234">
        <v>1.868528</v>
      </c>
      <c r="CZ20" s="234">
        <v>1.8837410000000001</v>
      </c>
      <c r="DA20" s="234">
        <v>1.928196</v>
      </c>
      <c r="DB20" s="234">
        <v>1.8214079999999999</v>
      </c>
      <c r="DC20" s="234">
        <v>0</v>
      </c>
      <c r="DD20" s="234">
        <v>0</v>
      </c>
      <c r="DE20" s="234">
        <v>0</v>
      </c>
      <c r="DF20" s="234">
        <v>0</v>
      </c>
      <c r="DG20" s="234">
        <v>0</v>
      </c>
      <c r="DH20" s="234">
        <v>0</v>
      </c>
      <c r="DI20" s="234">
        <v>0</v>
      </c>
      <c r="DJ20" s="234">
        <v>0</v>
      </c>
      <c r="DK20" s="236"/>
      <c r="DL20" s="234">
        <v>23.713000000000001</v>
      </c>
      <c r="DM20" s="234">
        <v>112.3829576653231</v>
      </c>
      <c r="DN20" s="234">
        <v>142.39252193798171</v>
      </c>
      <c r="DO20" s="234">
        <v>151.20506748482001</v>
      </c>
      <c r="DP20" s="234">
        <v>6.499174</v>
      </c>
      <c r="DQ20" s="234">
        <v>156.82308560233392</v>
      </c>
      <c r="DR20" s="234">
        <v>166.5197995810201</v>
      </c>
      <c r="DS20" s="234">
        <v>5.5071344602621188</v>
      </c>
      <c r="DT20" s="234">
        <v>6.1380464899817415</v>
      </c>
      <c r="DU20" s="237"/>
      <c r="DV20" s="238">
        <v>34554.53</v>
      </c>
      <c r="DW20" s="238">
        <v>2584.59</v>
      </c>
      <c r="DX20" s="238">
        <v>61288.382670000006</v>
      </c>
      <c r="DY20" s="238">
        <v>7813.4989999999998</v>
      </c>
      <c r="DZ20" s="238">
        <v>185281.50178700002</v>
      </c>
      <c r="EB20" s="239">
        <v>43921</v>
      </c>
      <c r="EC20" s="239">
        <v>43951</v>
      </c>
    </row>
    <row r="21" spans="1:133" x14ac:dyDescent="0.35">
      <c r="A21" s="233">
        <v>43951</v>
      </c>
      <c r="B21" s="234">
        <v>2.8585660000000002</v>
      </c>
      <c r="C21" s="234">
        <v>3.2072259999999999</v>
      </c>
      <c r="D21" s="234">
        <v>2.8585639999999999</v>
      </c>
      <c r="E21" s="234">
        <v>3.252812</v>
      </c>
      <c r="F21" s="234">
        <v>2.917319</v>
      </c>
      <c r="G21" s="234">
        <v>2.8811049999999998</v>
      </c>
      <c r="H21" s="234">
        <v>2.8688989999999999</v>
      </c>
      <c r="I21" s="234">
        <v>2.8913000000000002</v>
      </c>
      <c r="J21" s="234">
        <v>2.4867669999999999</v>
      </c>
      <c r="K21" s="234">
        <v>2.5701179999999999</v>
      </c>
      <c r="L21" s="234">
        <v>4.861065</v>
      </c>
      <c r="M21" s="234">
        <v>0</v>
      </c>
      <c r="N21" s="234">
        <v>5.5130929999999996</v>
      </c>
      <c r="O21" s="234">
        <v>0</v>
      </c>
      <c r="P21" s="234">
        <v>4.8610620000000004</v>
      </c>
      <c r="Q21" s="234">
        <v>5.5919949999999998</v>
      </c>
      <c r="R21" s="234">
        <v>4.9865830000000004</v>
      </c>
      <c r="S21" s="234">
        <v>4.9514649999999998</v>
      </c>
      <c r="T21" s="234">
        <v>5.2288490000000003</v>
      </c>
      <c r="U21" s="234">
        <v>0</v>
      </c>
      <c r="V21" s="234">
        <v>5.3196779999999997</v>
      </c>
      <c r="W21" s="234">
        <v>0.635625</v>
      </c>
      <c r="X21" s="234">
        <v>0.75821899999999998</v>
      </c>
      <c r="Y21" s="234">
        <v>0.78389500000000001</v>
      </c>
      <c r="Z21" s="234">
        <v>0.635625</v>
      </c>
      <c r="AA21" s="234">
        <v>0.68383499999999997</v>
      </c>
      <c r="AB21" s="234">
        <v>0.77680700000000003</v>
      </c>
      <c r="AC21" s="234">
        <v>0.65871800000000003</v>
      </c>
      <c r="AD21" s="234">
        <v>0.65127100000000004</v>
      </c>
      <c r="AE21" s="234">
        <v>0.67421600000000004</v>
      </c>
      <c r="AF21" s="234">
        <v>0.74758800000000003</v>
      </c>
      <c r="AG21" s="234">
        <v>0.68529600000000002</v>
      </c>
      <c r="AH21" s="234">
        <v>1.2853239999999999</v>
      </c>
      <c r="AI21" s="234">
        <v>1.402331</v>
      </c>
      <c r="AJ21" s="234">
        <v>1.2850109999999999</v>
      </c>
      <c r="AK21" s="234">
        <v>1.4340710000000001</v>
      </c>
      <c r="AL21" s="234">
        <v>1.307323</v>
      </c>
      <c r="AM21" s="234">
        <v>1.2850360000000001</v>
      </c>
      <c r="AN21" s="234">
        <v>1.3026990000000001</v>
      </c>
      <c r="AO21" s="234">
        <v>1.302686</v>
      </c>
      <c r="AP21" s="234">
        <v>1.2627520000000001</v>
      </c>
      <c r="AQ21" s="234">
        <v>1.2358260000000001</v>
      </c>
      <c r="AR21" s="234">
        <v>1.195719</v>
      </c>
      <c r="AS21" s="234">
        <v>1.2627459999999999</v>
      </c>
      <c r="AT21" s="234">
        <v>1.298432</v>
      </c>
      <c r="AU21" s="234">
        <v>1.228497</v>
      </c>
      <c r="AV21" s="234">
        <v>1.253493</v>
      </c>
      <c r="AW21" s="234">
        <v>1.2265839999999999</v>
      </c>
      <c r="AX21" s="234">
        <v>1.206107</v>
      </c>
      <c r="AY21" s="234">
        <v>1.3077160000000001</v>
      </c>
      <c r="AZ21" s="234">
        <v>1.214162</v>
      </c>
      <c r="BA21" s="234">
        <v>1.2245509999999999</v>
      </c>
      <c r="BB21" s="235"/>
      <c r="BC21" s="234">
        <v>1.2110380000000001</v>
      </c>
      <c r="BD21" s="234">
        <v>1.239576</v>
      </c>
      <c r="BE21" s="234">
        <v>1.2475849999999999</v>
      </c>
      <c r="BF21" s="234">
        <v>1.2111689999999999</v>
      </c>
      <c r="BG21" s="234">
        <v>1.222515</v>
      </c>
      <c r="BH21" s="234">
        <v>1.2337229999999999</v>
      </c>
      <c r="BI21" s="234">
        <v>1.2668459999999999</v>
      </c>
      <c r="BJ21" s="234">
        <v>1.2281059999999999</v>
      </c>
      <c r="BK21" s="234">
        <v>1.2225980000000001</v>
      </c>
      <c r="BL21" s="234">
        <v>1.232278</v>
      </c>
      <c r="BM21" s="234">
        <v>1.242059</v>
      </c>
      <c r="BN21" s="234">
        <v>1.237179</v>
      </c>
      <c r="BO21" s="234">
        <v>3.4007869999999998</v>
      </c>
      <c r="BP21" s="234">
        <v>3.664669</v>
      </c>
      <c r="BQ21" s="234">
        <v>3.6828319999999999</v>
      </c>
      <c r="BR21" s="234">
        <v>3.4000509999999999</v>
      </c>
      <c r="BS21" s="234">
        <v>3.4187090000000002</v>
      </c>
      <c r="BT21" s="234">
        <v>3.436464</v>
      </c>
      <c r="BU21" s="234">
        <v>3.5091410000000001</v>
      </c>
      <c r="BV21" s="234">
        <v>3.4277440000000001</v>
      </c>
      <c r="BW21" s="234">
        <v>3.4260120000000001</v>
      </c>
      <c r="BX21" s="234">
        <v>3.4416549999999999</v>
      </c>
      <c r="BY21" s="234">
        <v>3.456836</v>
      </c>
      <c r="BZ21" s="234">
        <v>3.4493939999999998</v>
      </c>
      <c r="CA21" s="234">
        <v>0.34180199999999999</v>
      </c>
      <c r="CB21" s="234">
        <v>0.34235500000000002</v>
      </c>
      <c r="CC21" s="234">
        <v>0.340922</v>
      </c>
      <c r="CD21" s="234">
        <v>0.35364499999999999</v>
      </c>
      <c r="CE21" s="234">
        <v>0.35078300000000001</v>
      </c>
      <c r="CF21" s="234">
        <v>0.341306</v>
      </c>
      <c r="CG21" s="234">
        <v>0.34188400000000002</v>
      </c>
      <c r="CH21" s="234">
        <v>0.34128399999999998</v>
      </c>
      <c r="CI21" s="234">
        <v>1.2493430000000001</v>
      </c>
      <c r="CJ21" s="234">
        <v>1.2699100000000001</v>
      </c>
      <c r="CK21" s="234">
        <v>1.2783789999999999</v>
      </c>
      <c r="CL21" s="234">
        <v>1.2494609999999999</v>
      </c>
      <c r="CM21" s="234">
        <v>1.26112</v>
      </c>
      <c r="CN21" s="234">
        <v>1.2728809999999999</v>
      </c>
      <c r="CO21" s="234">
        <v>1.2990619999999999</v>
      </c>
      <c r="CP21" s="234">
        <v>1.2668680000000001</v>
      </c>
      <c r="CQ21" s="234">
        <v>1.2618469999999999</v>
      </c>
      <c r="CR21" s="234">
        <v>1.271193</v>
      </c>
      <c r="CS21" s="234">
        <v>1.2811170000000001</v>
      </c>
      <c r="CT21" s="234">
        <v>1.2760130000000001</v>
      </c>
      <c r="CU21" s="234">
        <v>1.9395439999999999</v>
      </c>
      <c r="CV21" s="234">
        <v>1.9380500000000001</v>
      </c>
      <c r="CW21" s="234">
        <v>2.0440909999999999</v>
      </c>
      <c r="CX21" s="234">
        <v>1.9347939999999999</v>
      </c>
      <c r="CY21" s="234">
        <v>1.986607</v>
      </c>
      <c r="CZ21" s="234">
        <v>2.004019</v>
      </c>
      <c r="DA21" s="234">
        <v>2.0539209999999999</v>
      </c>
      <c r="DB21" s="234">
        <v>1.9339519999999999</v>
      </c>
      <c r="DC21" s="234">
        <v>0</v>
      </c>
      <c r="DD21" s="234">
        <v>0</v>
      </c>
      <c r="DE21" s="234">
        <v>0</v>
      </c>
      <c r="DF21" s="234">
        <v>0</v>
      </c>
      <c r="DG21" s="234">
        <v>0</v>
      </c>
      <c r="DH21" s="234">
        <v>0</v>
      </c>
      <c r="DI21" s="234">
        <v>0</v>
      </c>
      <c r="DJ21" s="234">
        <v>0</v>
      </c>
      <c r="DK21" s="236"/>
      <c r="DL21" s="234">
        <v>24.035</v>
      </c>
      <c r="DM21" s="234">
        <v>112.52530941169918</v>
      </c>
      <c r="DN21" s="234">
        <v>142.90513501695844</v>
      </c>
      <c r="DO21" s="234">
        <v>151.93211185097618</v>
      </c>
      <c r="DP21" s="234">
        <v>6.437468</v>
      </c>
      <c r="DQ21" s="234">
        <v>157.48827685709716</v>
      </c>
      <c r="DR21" s="234">
        <v>167.42733248873665</v>
      </c>
      <c r="DS21" s="234">
        <v>5.5280959908014919</v>
      </c>
      <c r="DT21" s="234">
        <v>6.1688262356096288</v>
      </c>
      <c r="DU21" s="237"/>
      <c r="DV21" s="238">
        <v>36470.11</v>
      </c>
      <c r="DW21" s="238">
        <v>2912.43</v>
      </c>
      <c r="DX21" s="238">
        <v>70000.255049999992</v>
      </c>
      <c r="DY21" s="238">
        <v>8718.1790000000001</v>
      </c>
      <c r="DZ21" s="238">
        <v>209541.43226500001</v>
      </c>
      <c r="EB21" s="239">
        <v>43951</v>
      </c>
      <c r="EC21" s="239">
        <v>43980</v>
      </c>
    </row>
    <row r="22" spans="1:133" x14ac:dyDescent="0.35">
      <c r="A22" s="233">
        <v>43980</v>
      </c>
      <c r="B22" s="234">
        <v>2.878647</v>
      </c>
      <c r="C22" s="234">
        <v>3.234607</v>
      </c>
      <c r="D22" s="234">
        <v>2.8786459999999998</v>
      </c>
      <c r="E22" s="234">
        <v>3.2826200000000001</v>
      </c>
      <c r="F22" s="234">
        <v>2.9404849999999998</v>
      </c>
      <c r="G22" s="234">
        <v>2.9028350000000001</v>
      </c>
      <c r="H22" s="234">
        <v>2.8890639999999999</v>
      </c>
      <c r="I22" s="234">
        <v>2.9131109999999998</v>
      </c>
      <c r="J22" s="234">
        <v>2.4923160000000002</v>
      </c>
      <c r="K22" s="234">
        <v>2.5790130000000002</v>
      </c>
      <c r="L22" s="234">
        <v>4.8700060000000001</v>
      </c>
      <c r="M22" s="234">
        <v>0</v>
      </c>
      <c r="N22" s="234">
        <v>5.5336239999999997</v>
      </c>
      <c r="O22" s="234">
        <v>0</v>
      </c>
      <c r="P22" s="234">
        <v>4.8700029999999996</v>
      </c>
      <c r="Q22" s="234">
        <v>5.6162859999999997</v>
      </c>
      <c r="R22" s="234">
        <v>5.0014560000000001</v>
      </c>
      <c r="S22" s="234">
        <v>4.9665980000000003</v>
      </c>
      <c r="T22" s="234">
        <v>5.2424049999999998</v>
      </c>
      <c r="U22" s="234">
        <v>0</v>
      </c>
      <c r="V22" s="234">
        <v>5.339486</v>
      </c>
      <c r="W22" s="234">
        <v>0.63671999999999995</v>
      </c>
      <c r="X22" s="234">
        <v>0.76089499999999999</v>
      </c>
      <c r="Y22" s="234">
        <v>0.78683599999999998</v>
      </c>
      <c r="Z22" s="234">
        <v>0.63671999999999995</v>
      </c>
      <c r="AA22" s="234">
        <v>0.68537199999999998</v>
      </c>
      <c r="AB22" s="234">
        <v>0.78037900000000004</v>
      </c>
      <c r="AC22" s="234">
        <v>0.66090599999999999</v>
      </c>
      <c r="AD22" s="234">
        <v>0.65323399999999998</v>
      </c>
      <c r="AE22" s="234">
        <v>0.67557199999999995</v>
      </c>
      <c r="AF22" s="234">
        <v>0.749668</v>
      </c>
      <c r="AG22" s="234">
        <v>0.68729899999999999</v>
      </c>
      <c r="AH22" s="234">
        <v>1.1852419999999999</v>
      </c>
      <c r="AI22" s="234">
        <v>1.2933859999999999</v>
      </c>
      <c r="AJ22" s="234">
        <v>1.1849529999999999</v>
      </c>
      <c r="AK22" s="234">
        <v>1.323893</v>
      </c>
      <c r="AL22" s="234">
        <v>1.206442</v>
      </c>
      <c r="AM22" s="234">
        <v>1.1849769999999999</v>
      </c>
      <c r="AN22" s="234">
        <v>1.201268</v>
      </c>
      <c r="AO22" s="234">
        <v>1.2012560000000001</v>
      </c>
      <c r="AP22" s="234">
        <v>1.266189</v>
      </c>
      <c r="AQ22" s="234">
        <v>1.2407379999999999</v>
      </c>
      <c r="AR22" s="234">
        <v>1.198372</v>
      </c>
      <c r="AS22" s="234">
        <v>1.266184</v>
      </c>
      <c r="AT22" s="234">
        <v>1.3022929999999999</v>
      </c>
      <c r="AU22" s="234">
        <v>1.2315320000000001</v>
      </c>
      <c r="AV22" s="234">
        <v>1.2592509999999999</v>
      </c>
      <c r="AW22" s="234">
        <v>1.2307049999999999</v>
      </c>
      <c r="AX22" s="234">
        <v>1.209481</v>
      </c>
      <c r="AY22" s="234">
        <v>1.3122990000000001</v>
      </c>
      <c r="AZ22" s="234">
        <v>1.2176880000000001</v>
      </c>
      <c r="BA22" s="234">
        <v>1.228801</v>
      </c>
      <c r="BB22" s="235"/>
      <c r="BC22" s="234">
        <v>1.191379</v>
      </c>
      <c r="BD22" s="234">
        <v>1.2205140000000001</v>
      </c>
      <c r="BE22" s="234">
        <v>1.228677</v>
      </c>
      <c r="BF22" s="234">
        <v>1.1915089999999999</v>
      </c>
      <c r="BG22" s="234">
        <v>1.2029559999999999</v>
      </c>
      <c r="BH22" s="234">
        <v>1.214261</v>
      </c>
      <c r="BI22" s="234">
        <v>1.248343</v>
      </c>
      <c r="BJ22" s="234">
        <v>1.2085889999999999</v>
      </c>
      <c r="BK22" s="234">
        <v>1.2031689999999999</v>
      </c>
      <c r="BL22" s="234">
        <v>1.2129350000000001</v>
      </c>
      <c r="BM22" s="234">
        <v>1.2228060000000001</v>
      </c>
      <c r="BN22" s="234">
        <v>1.2178869999999999</v>
      </c>
      <c r="BO22" s="234">
        <v>3.282772</v>
      </c>
      <c r="BP22" s="234">
        <v>3.5393330000000001</v>
      </c>
      <c r="BQ22" s="234">
        <v>3.5576819999999998</v>
      </c>
      <c r="BR22" s="234">
        <v>3.2820610000000001</v>
      </c>
      <c r="BS22" s="234">
        <v>3.3008380000000002</v>
      </c>
      <c r="BT22" s="234">
        <v>3.3187229999999999</v>
      </c>
      <c r="BU22" s="234">
        <v>3.3923299999999998</v>
      </c>
      <c r="BV22" s="234">
        <v>3.3099460000000001</v>
      </c>
      <c r="BW22" s="234">
        <v>3.3082729999999998</v>
      </c>
      <c r="BX22" s="234">
        <v>3.324004</v>
      </c>
      <c r="BY22" s="234">
        <v>3.339321</v>
      </c>
      <c r="BZ22" s="234">
        <v>3.3318120000000002</v>
      </c>
      <c r="CA22" s="234">
        <v>0.33098899999999998</v>
      </c>
      <c r="CB22" s="234">
        <v>0.33154</v>
      </c>
      <c r="CC22" s="234">
        <v>0.33013599999999999</v>
      </c>
      <c r="CD22" s="234">
        <v>0.34301300000000001</v>
      </c>
      <c r="CE22" s="234">
        <v>0.34015400000000001</v>
      </c>
      <c r="CF22" s="234">
        <v>0.33053100000000002</v>
      </c>
      <c r="CG22" s="234">
        <v>0.33106799999999997</v>
      </c>
      <c r="CH22" s="234">
        <v>0.33050099999999999</v>
      </c>
      <c r="CI22" s="234">
        <v>1.221894</v>
      </c>
      <c r="CJ22" s="234">
        <v>1.242826</v>
      </c>
      <c r="CK22" s="234">
        <v>1.251404</v>
      </c>
      <c r="CL22" s="234">
        <v>1.22201</v>
      </c>
      <c r="CM22" s="234">
        <v>1.233703</v>
      </c>
      <c r="CN22" s="234">
        <v>1.2455000000000001</v>
      </c>
      <c r="CO22" s="234">
        <v>1.272359</v>
      </c>
      <c r="CP22" s="234">
        <v>1.239471</v>
      </c>
      <c r="CQ22" s="234">
        <v>1.2345569999999999</v>
      </c>
      <c r="CR22" s="234">
        <v>1.243946</v>
      </c>
      <c r="CS22" s="234">
        <v>1.253911</v>
      </c>
      <c r="CT22" s="234">
        <v>1.2487919999999999</v>
      </c>
      <c r="CU22" s="234">
        <v>1.9542679999999999</v>
      </c>
      <c r="CV22" s="234">
        <v>1.95296</v>
      </c>
      <c r="CW22" s="234">
        <v>2.064422</v>
      </c>
      <c r="CX22" s="234">
        <v>1.949465</v>
      </c>
      <c r="CY22" s="234">
        <v>2.0039150000000001</v>
      </c>
      <c r="CZ22" s="234">
        <v>2.0223390000000001</v>
      </c>
      <c r="DA22" s="234">
        <v>2.0751460000000002</v>
      </c>
      <c r="DB22" s="234">
        <v>1.948415</v>
      </c>
      <c r="DC22" s="234">
        <v>0</v>
      </c>
      <c r="DD22" s="234">
        <v>0</v>
      </c>
      <c r="DE22" s="234">
        <v>0</v>
      </c>
      <c r="DF22" s="234">
        <v>0</v>
      </c>
      <c r="DG22" s="234">
        <v>0</v>
      </c>
      <c r="DH22" s="234">
        <v>0</v>
      </c>
      <c r="DI22" s="234">
        <v>0</v>
      </c>
      <c r="DJ22" s="234">
        <v>0</v>
      </c>
      <c r="DK22" s="236"/>
      <c r="DL22" s="234">
        <v>22.184999999999999</v>
      </c>
      <c r="DM22" s="234">
        <v>112.654025862854</v>
      </c>
      <c r="DN22" s="234">
        <v>143.32531580977914</v>
      </c>
      <c r="DO22" s="234">
        <v>152.55629961049729</v>
      </c>
      <c r="DP22" s="234">
        <v>6.4233060000000002</v>
      </c>
      <c r="DQ22" s="234">
        <v>158.06551513852199</v>
      </c>
      <c r="DR22" s="234">
        <v>168.23656459576554</v>
      </c>
      <c r="DS22" s="234">
        <v>5.5459755423761852</v>
      </c>
      <c r="DT22" s="234">
        <v>6.1959836363304781</v>
      </c>
      <c r="DU22" s="237"/>
      <c r="DV22" s="238">
        <v>36122.730000000003</v>
      </c>
      <c r="DW22" s="238">
        <v>3044.31</v>
      </c>
      <c r="DX22" s="238">
        <v>67538.017349999995</v>
      </c>
      <c r="DY22" s="238">
        <v>9555.5249999999996</v>
      </c>
      <c r="DZ22" s="238">
        <v>211989.32212499998</v>
      </c>
      <c r="EB22" s="239">
        <v>43980</v>
      </c>
      <c r="EC22" s="239">
        <v>44012</v>
      </c>
    </row>
    <row r="23" spans="1:133" x14ac:dyDescent="0.35">
      <c r="A23" s="233">
        <v>44012</v>
      </c>
      <c r="B23" s="234">
        <v>2.8984429999999999</v>
      </c>
      <c r="C23" s="234">
        <v>3.2621150000000001</v>
      </c>
      <c r="D23" s="234">
        <v>2.898441</v>
      </c>
      <c r="E23" s="234">
        <v>3.3127409999999999</v>
      </c>
      <c r="F23" s="234">
        <v>2.9635959999999999</v>
      </c>
      <c r="G23" s="234">
        <v>2.9245700000000001</v>
      </c>
      <c r="H23" s="234">
        <v>2.9089429999999998</v>
      </c>
      <c r="I23" s="234">
        <v>2.9349370000000001</v>
      </c>
      <c r="J23" s="234">
        <v>2.4981930000000001</v>
      </c>
      <c r="K23" s="234">
        <v>2.5885020000000001</v>
      </c>
      <c r="L23" s="234">
        <v>4.8788780000000003</v>
      </c>
      <c r="M23" s="234">
        <v>0</v>
      </c>
      <c r="N23" s="234">
        <v>5.5548979999999997</v>
      </c>
      <c r="O23" s="234">
        <v>0</v>
      </c>
      <c r="P23" s="234">
        <v>4.8788749999999999</v>
      </c>
      <c r="Q23" s="234">
        <v>5.6416050000000002</v>
      </c>
      <c r="R23" s="234">
        <v>5.0167029999999997</v>
      </c>
      <c r="S23" s="234">
        <v>4.982138</v>
      </c>
      <c r="T23" s="234">
        <v>5.2561910000000003</v>
      </c>
      <c r="U23" s="234">
        <v>0</v>
      </c>
      <c r="V23" s="234">
        <v>5.3600199999999996</v>
      </c>
      <c r="W23" s="234">
        <v>0.63772700000000004</v>
      </c>
      <c r="X23" s="234">
        <v>0.76356500000000005</v>
      </c>
      <c r="Y23" s="234">
        <v>0.78978499999999996</v>
      </c>
      <c r="Z23" s="234">
        <v>0.63772700000000004</v>
      </c>
      <c r="AA23" s="234">
        <v>0.68684199999999995</v>
      </c>
      <c r="AB23" s="234">
        <v>0.78401200000000004</v>
      </c>
      <c r="AC23" s="234">
        <v>0.66308400000000001</v>
      </c>
      <c r="AD23" s="234">
        <v>0.65527199999999997</v>
      </c>
      <c r="AE23" s="234">
        <v>0.67684900000000003</v>
      </c>
      <c r="AF23" s="234">
        <v>0.75170599999999999</v>
      </c>
      <c r="AG23" s="234">
        <v>0.68937000000000004</v>
      </c>
      <c r="AH23" s="234">
        <v>1.2266710000000001</v>
      </c>
      <c r="AI23" s="234">
        <v>1.338964</v>
      </c>
      <c r="AJ23" s="234">
        <v>1.226372</v>
      </c>
      <c r="AK23" s="234">
        <v>1.3719159999999999</v>
      </c>
      <c r="AL23" s="234">
        <v>1.249628</v>
      </c>
      <c r="AM23" s="234">
        <v>1.226399</v>
      </c>
      <c r="AN23" s="234">
        <v>1.2432609999999999</v>
      </c>
      <c r="AO23" s="234">
        <v>1.24325</v>
      </c>
      <c r="AP23" s="234">
        <v>1.269628</v>
      </c>
      <c r="AQ23" s="234">
        <v>1.2457309999999999</v>
      </c>
      <c r="AR23" s="234">
        <v>1.2009829999999999</v>
      </c>
      <c r="AS23" s="234">
        <v>1.269622</v>
      </c>
      <c r="AT23" s="234">
        <v>1.306179</v>
      </c>
      <c r="AU23" s="234">
        <v>1.2345459999999999</v>
      </c>
      <c r="AV23" s="234">
        <v>1.265155</v>
      </c>
      <c r="AW23" s="234">
        <v>1.23489</v>
      </c>
      <c r="AX23" s="234">
        <v>1.2129479999999999</v>
      </c>
      <c r="AY23" s="234">
        <v>1.3170459999999999</v>
      </c>
      <c r="AZ23" s="234">
        <v>1.2212339999999999</v>
      </c>
      <c r="BA23" s="234">
        <v>1.233209</v>
      </c>
      <c r="BB23" s="235"/>
      <c r="BC23" s="234">
        <v>1.216418</v>
      </c>
      <c r="BD23" s="234">
        <v>1.24736</v>
      </c>
      <c r="BE23" s="234">
        <v>1.2560039999999999</v>
      </c>
      <c r="BF23" s="234">
        <v>1.21655</v>
      </c>
      <c r="BG23" s="234">
        <v>1.2285489999999999</v>
      </c>
      <c r="BH23" s="234">
        <v>1.2403979999999999</v>
      </c>
      <c r="BI23" s="234">
        <v>1.27684</v>
      </c>
      <c r="BJ23" s="234">
        <v>1.2344470000000001</v>
      </c>
      <c r="BK23" s="234">
        <v>1.2289110000000001</v>
      </c>
      <c r="BL23" s="234">
        <v>1.2391490000000001</v>
      </c>
      <c r="BM23" s="234">
        <v>1.2495019999999999</v>
      </c>
      <c r="BN23" s="234">
        <v>1.2443489999999999</v>
      </c>
      <c r="BO23" s="234">
        <v>3.401834</v>
      </c>
      <c r="BP23" s="234">
        <v>3.669886</v>
      </c>
      <c r="BQ23" s="234">
        <v>3.6898230000000001</v>
      </c>
      <c r="BR23" s="234">
        <v>3.401097</v>
      </c>
      <c r="BS23" s="234">
        <v>3.421408</v>
      </c>
      <c r="BT23" s="234">
        <v>3.4407700000000001</v>
      </c>
      <c r="BU23" s="234">
        <v>3.5208919999999999</v>
      </c>
      <c r="BV23" s="234">
        <v>3.431276</v>
      </c>
      <c r="BW23" s="234">
        <v>3.429541</v>
      </c>
      <c r="BX23" s="234">
        <v>3.4465409999999999</v>
      </c>
      <c r="BY23" s="234">
        <v>3.4631539999999998</v>
      </c>
      <c r="BZ23" s="234">
        <v>3.4550179999999999</v>
      </c>
      <c r="CA23" s="234">
        <v>0.34670800000000002</v>
      </c>
      <c r="CB23" s="234">
        <v>0.347306</v>
      </c>
      <c r="CC23" s="234">
        <v>0.34569</v>
      </c>
      <c r="CD23" s="234">
        <v>0.35993000000000003</v>
      </c>
      <c r="CE23" s="234">
        <v>0.35670499999999999</v>
      </c>
      <c r="CF23" s="234">
        <v>0.34613100000000002</v>
      </c>
      <c r="CG23" s="234">
        <v>0.34679100000000002</v>
      </c>
      <c r="CH23" s="234">
        <v>0.34609299999999998</v>
      </c>
      <c r="CI23" s="234">
        <v>1.2568870000000001</v>
      </c>
      <c r="CJ23" s="234">
        <v>1.279307</v>
      </c>
      <c r="CK23" s="234">
        <v>1.288456</v>
      </c>
      <c r="CL23" s="234">
        <v>1.2570060000000001</v>
      </c>
      <c r="CM23" s="234">
        <v>1.269353</v>
      </c>
      <c r="CN23" s="234">
        <v>1.2818130000000001</v>
      </c>
      <c r="CO23" s="234">
        <v>1.310826</v>
      </c>
      <c r="CP23" s="234">
        <v>1.2754479999999999</v>
      </c>
      <c r="CQ23" s="234">
        <v>1.270391</v>
      </c>
      <c r="CR23" s="234">
        <v>1.2803230000000001</v>
      </c>
      <c r="CS23" s="234">
        <v>1.290861</v>
      </c>
      <c r="CT23" s="234">
        <v>1.2854479999999999</v>
      </c>
      <c r="CU23" s="234">
        <v>2.0572279999999998</v>
      </c>
      <c r="CV23" s="234">
        <v>2.0560589999999999</v>
      </c>
      <c r="CW23" s="234">
        <v>2.178776</v>
      </c>
      <c r="CX23" s="234">
        <v>2.0522659999999999</v>
      </c>
      <c r="CY23" s="234">
        <v>2.112006</v>
      </c>
      <c r="CZ23" s="234">
        <v>2.1325569999999998</v>
      </c>
      <c r="DA23" s="234">
        <v>2.190852</v>
      </c>
      <c r="DB23" s="234">
        <v>2.0509629999999999</v>
      </c>
      <c r="DC23" s="234">
        <v>0</v>
      </c>
      <c r="DD23" s="234">
        <v>0</v>
      </c>
      <c r="DE23" s="234">
        <v>0</v>
      </c>
      <c r="DF23" s="234">
        <v>0</v>
      </c>
      <c r="DG23" s="234">
        <v>0</v>
      </c>
      <c r="DH23" s="234">
        <v>0</v>
      </c>
      <c r="DI23" s="234">
        <v>0</v>
      </c>
      <c r="DJ23" s="234">
        <v>0</v>
      </c>
      <c r="DK23" s="236"/>
      <c r="DL23" s="234">
        <v>22.986499999999999</v>
      </c>
      <c r="DM23" s="234">
        <v>112.78720795565187</v>
      </c>
      <c r="DN23" s="234">
        <v>143.7266266940465</v>
      </c>
      <c r="DO23" s="234">
        <v>153.18008536890466</v>
      </c>
      <c r="DP23" s="234">
        <v>6.4438040000000001</v>
      </c>
      <c r="DQ23" s="234">
        <v>158.65562639503915</v>
      </c>
      <c r="DR23" s="234">
        <v>169.08148600906873</v>
      </c>
      <c r="DS23" s="234">
        <v>5.5635353333823572</v>
      </c>
      <c r="DT23" s="234">
        <v>6.2235874318729563</v>
      </c>
      <c r="DU23" s="237"/>
      <c r="DV23" s="238">
        <v>37716.43</v>
      </c>
      <c r="DW23" s="238">
        <v>3100.29</v>
      </c>
      <c r="DX23" s="238">
        <v>71264.816084999999</v>
      </c>
      <c r="DY23" s="238">
        <v>10156.852000000001</v>
      </c>
      <c r="DZ23" s="238">
        <v>233470.47849800001</v>
      </c>
      <c r="EB23" s="239">
        <v>44012</v>
      </c>
      <c r="EC23" s="239">
        <v>44043</v>
      </c>
    </row>
    <row r="24" spans="1:133" x14ac:dyDescent="0.35">
      <c r="A24" s="233">
        <v>44043</v>
      </c>
      <c r="B24" s="234">
        <v>2.9069669999999999</v>
      </c>
      <c r="C24" s="234">
        <v>3.2775219999999998</v>
      </c>
      <c r="D24" s="234">
        <v>2.906965</v>
      </c>
      <c r="E24" s="234">
        <v>3.3308239999999998</v>
      </c>
      <c r="F24" s="234">
        <v>2.9755060000000002</v>
      </c>
      <c r="G24" s="234">
        <v>2.935216</v>
      </c>
      <c r="H24" s="234">
        <v>2.9175110000000002</v>
      </c>
      <c r="I24" s="234">
        <v>2.9456519999999999</v>
      </c>
      <c r="J24" s="234">
        <v>2.5035289999999999</v>
      </c>
      <c r="K24" s="234">
        <v>2.5978270000000001</v>
      </c>
      <c r="L24" s="234">
        <v>4.8870469999999999</v>
      </c>
      <c r="M24" s="234">
        <v>0</v>
      </c>
      <c r="N24" s="234">
        <v>5.5765609999999999</v>
      </c>
      <c r="O24" s="234">
        <v>0</v>
      </c>
      <c r="P24" s="234">
        <v>4.8870440000000004</v>
      </c>
      <c r="Q24" s="234">
        <v>5.6677299999999997</v>
      </c>
      <c r="R24" s="234">
        <v>5.0318800000000001</v>
      </c>
      <c r="S24" s="234">
        <v>4.9976440000000002</v>
      </c>
      <c r="T24" s="234">
        <v>5.2696690000000004</v>
      </c>
      <c r="U24" s="234">
        <v>0</v>
      </c>
      <c r="V24" s="234">
        <v>5.3809449999999996</v>
      </c>
      <c r="W24" s="234">
        <v>0.63860499999999998</v>
      </c>
      <c r="X24" s="234">
        <v>0.766185</v>
      </c>
      <c r="Y24" s="234">
        <v>0.79270099999999999</v>
      </c>
      <c r="Z24" s="234">
        <v>0.63860499999999998</v>
      </c>
      <c r="AA24" s="234">
        <v>0.68820999999999999</v>
      </c>
      <c r="AB24" s="234">
        <v>0.78769</v>
      </c>
      <c r="AC24" s="234">
        <v>0.66524499999999998</v>
      </c>
      <c r="AD24" s="234">
        <v>0.65729899999999997</v>
      </c>
      <c r="AE24" s="234">
        <v>0.67800700000000003</v>
      </c>
      <c r="AF24" s="234">
        <v>0.75367300000000004</v>
      </c>
      <c r="AG24" s="234">
        <v>0.69142099999999995</v>
      </c>
      <c r="AH24" s="234">
        <v>1.184245</v>
      </c>
      <c r="AI24" s="234">
        <v>1.293045</v>
      </c>
      <c r="AJ24" s="234">
        <v>1.1839550000000001</v>
      </c>
      <c r="AK24" s="234">
        <v>1.326322</v>
      </c>
      <c r="AL24" s="234">
        <v>1.207487</v>
      </c>
      <c r="AM24" s="234">
        <v>1.1839839999999999</v>
      </c>
      <c r="AN24" s="234">
        <v>1.2002660000000001</v>
      </c>
      <c r="AO24" s="234">
        <v>1.200251</v>
      </c>
      <c r="AP24" s="234">
        <v>1.27291</v>
      </c>
      <c r="AQ24" s="234">
        <v>1.250696</v>
      </c>
      <c r="AR24" s="234">
        <v>1.203379</v>
      </c>
      <c r="AS24" s="234">
        <v>1.272904</v>
      </c>
      <c r="AT24" s="234">
        <v>1.309939</v>
      </c>
      <c r="AU24" s="234">
        <v>1.2373730000000001</v>
      </c>
      <c r="AV24" s="234">
        <v>1.271123</v>
      </c>
      <c r="AW24" s="234">
        <v>1.239015</v>
      </c>
      <c r="AX24" s="234">
        <v>1.2163569999999999</v>
      </c>
      <c r="AY24" s="234">
        <v>1.3218240000000001</v>
      </c>
      <c r="AZ24" s="234">
        <v>1.224655</v>
      </c>
      <c r="BA24" s="234">
        <v>1.237652</v>
      </c>
      <c r="BB24" s="235"/>
      <c r="BC24" s="234">
        <v>1.223503</v>
      </c>
      <c r="BD24" s="234">
        <v>1.2559629999999999</v>
      </c>
      <c r="BE24" s="234">
        <v>1.2649980000000001</v>
      </c>
      <c r="BF24" s="234">
        <v>1.2236359999999999</v>
      </c>
      <c r="BG24" s="234">
        <v>1.236051</v>
      </c>
      <c r="BH24" s="234">
        <v>1.248308</v>
      </c>
      <c r="BI24" s="234">
        <v>1.2867869999999999</v>
      </c>
      <c r="BJ24" s="234">
        <v>1.242146</v>
      </c>
      <c r="BK24" s="234">
        <v>1.236567</v>
      </c>
      <c r="BL24" s="234">
        <v>1.2471760000000001</v>
      </c>
      <c r="BM24" s="234">
        <v>1.2578860000000001</v>
      </c>
      <c r="BN24" s="234">
        <v>1.252551</v>
      </c>
      <c r="BO24" s="234">
        <v>3.424839</v>
      </c>
      <c r="BP24" s="234">
        <v>3.697473</v>
      </c>
      <c r="BQ24" s="234">
        <v>3.7185090000000001</v>
      </c>
      <c r="BR24" s="234">
        <v>3.4240970000000002</v>
      </c>
      <c r="BS24" s="234">
        <v>3.4454920000000002</v>
      </c>
      <c r="BT24" s="234">
        <v>3.4659059999999999</v>
      </c>
      <c r="BU24" s="234">
        <v>3.5508470000000001</v>
      </c>
      <c r="BV24" s="234">
        <v>3.4559039999999999</v>
      </c>
      <c r="BW24" s="234">
        <v>3.4541559999999998</v>
      </c>
      <c r="BX24" s="234">
        <v>3.4720550000000001</v>
      </c>
      <c r="BY24" s="234">
        <v>3.4895960000000001</v>
      </c>
      <c r="BZ24" s="234">
        <v>3.4810270000000001</v>
      </c>
      <c r="CA24" s="234">
        <v>0.35328399999999999</v>
      </c>
      <c r="CB24" s="234">
        <v>0.35394300000000001</v>
      </c>
      <c r="CC24" s="234">
        <v>0.35224699999999998</v>
      </c>
      <c r="CD24" s="234">
        <v>0.36748199999999998</v>
      </c>
      <c r="CE24" s="234">
        <v>0.36406300000000003</v>
      </c>
      <c r="CF24" s="234">
        <v>0.35274800000000001</v>
      </c>
      <c r="CG24" s="234">
        <v>0.35336899999999999</v>
      </c>
      <c r="CH24" s="234">
        <v>0.35270800000000002</v>
      </c>
      <c r="CI24" s="234">
        <v>1.2683340000000001</v>
      </c>
      <c r="CJ24" s="234">
        <v>1.292033</v>
      </c>
      <c r="CK24" s="234">
        <v>1.3016319999999999</v>
      </c>
      <c r="CL24" s="234">
        <v>1.268454</v>
      </c>
      <c r="CM24" s="234">
        <v>1.281269</v>
      </c>
      <c r="CN24" s="234">
        <v>1.294206</v>
      </c>
      <c r="CO24" s="234">
        <v>1.3250249999999999</v>
      </c>
      <c r="CP24" s="234">
        <v>1.2876000000000001</v>
      </c>
      <c r="CQ24" s="234">
        <v>1.2824949999999999</v>
      </c>
      <c r="CR24" s="234">
        <v>1.2928249999999999</v>
      </c>
      <c r="CS24" s="234">
        <v>1.303776</v>
      </c>
      <c r="CT24" s="234">
        <v>1.298162</v>
      </c>
      <c r="CU24" s="234">
        <v>2.036368</v>
      </c>
      <c r="CV24" s="234">
        <v>2.0354359999999998</v>
      </c>
      <c r="CW24" s="234">
        <v>2.1628859999999999</v>
      </c>
      <c r="CX24" s="234">
        <v>2.0316540000000001</v>
      </c>
      <c r="CY24" s="234">
        <v>2.0933320000000002</v>
      </c>
      <c r="CZ24" s="234">
        <v>2.115043</v>
      </c>
      <c r="DA24" s="234">
        <v>2.1755870000000002</v>
      </c>
      <c r="DB24" s="234">
        <v>2.0301429999999998</v>
      </c>
      <c r="DC24" s="234">
        <v>0</v>
      </c>
      <c r="DD24" s="234">
        <v>0</v>
      </c>
      <c r="DE24" s="234">
        <v>0</v>
      </c>
      <c r="DF24" s="234">
        <v>0</v>
      </c>
      <c r="DG24" s="234">
        <v>0</v>
      </c>
      <c r="DH24" s="234">
        <v>0</v>
      </c>
      <c r="DI24" s="234">
        <v>0</v>
      </c>
      <c r="DJ24" s="234">
        <v>0</v>
      </c>
      <c r="DK24" s="236"/>
      <c r="DL24" s="234">
        <v>22.220500000000001</v>
      </c>
      <c r="DM24" s="234">
        <v>112.90375473720606</v>
      </c>
      <c r="DN24" s="234">
        <v>144.0880193120561</v>
      </c>
      <c r="DO24" s="234">
        <v>153.75651054015256</v>
      </c>
      <c r="DP24" s="234">
        <v>6.4961409999999997</v>
      </c>
      <c r="DQ24" s="234">
        <v>159.172050458955</v>
      </c>
      <c r="DR24" s="234">
        <v>169.84296326814237</v>
      </c>
      <c r="DS24" s="234">
        <v>5.5796804038345362</v>
      </c>
      <c r="DT24" s="234">
        <v>6.249418777263803</v>
      </c>
      <c r="DU24" s="237"/>
      <c r="DV24" s="238">
        <v>37019.68</v>
      </c>
      <c r="DW24" s="238">
        <v>3271.12</v>
      </c>
      <c r="DX24" s="238">
        <v>72685.921960000007</v>
      </c>
      <c r="DY24" s="238">
        <v>10905.880999999999</v>
      </c>
      <c r="DZ24" s="238">
        <v>242334.1287605</v>
      </c>
      <c r="EB24" s="239">
        <v>44043</v>
      </c>
      <c r="EC24" s="239">
        <v>44074</v>
      </c>
    </row>
    <row r="25" spans="1:133" x14ac:dyDescent="0.35">
      <c r="A25" s="233">
        <v>44074</v>
      </c>
      <c r="B25" s="234">
        <v>2.9100190000000001</v>
      </c>
      <c r="C25" s="234">
        <v>3.2861440000000002</v>
      </c>
      <c r="D25" s="234">
        <v>2.910018</v>
      </c>
      <c r="E25" s="234">
        <v>3.341736</v>
      </c>
      <c r="F25" s="234">
        <v>2.9814470000000002</v>
      </c>
      <c r="G25" s="234">
        <v>2.9403290000000002</v>
      </c>
      <c r="H25" s="234">
        <v>2.9205860000000001</v>
      </c>
      <c r="I25" s="234">
        <v>2.9508190000000001</v>
      </c>
      <c r="J25" s="234">
        <v>2.5073660000000002</v>
      </c>
      <c r="K25" s="234">
        <v>2.6051609999999998</v>
      </c>
      <c r="L25" s="234">
        <v>4.8931170000000002</v>
      </c>
      <c r="M25" s="234">
        <v>0</v>
      </c>
      <c r="N25" s="234">
        <v>5.5944409999999998</v>
      </c>
      <c r="O25" s="234">
        <v>0</v>
      </c>
      <c r="P25" s="234">
        <v>4.8931129999999996</v>
      </c>
      <c r="Q25" s="234">
        <v>5.6895439999999997</v>
      </c>
      <c r="R25" s="234">
        <v>5.0441099999999999</v>
      </c>
      <c r="S25" s="234">
        <v>5.0102140000000004</v>
      </c>
      <c r="T25" s="234">
        <v>5.2803430000000002</v>
      </c>
      <c r="U25" s="234">
        <v>0</v>
      </c>
      <c r="V25" s="234">
        <v>5.3982260000000002</v>
      </c>
      <c r="W25" s="234">
        <v>0.63921600000000001</v>
      </c>
      <c r="X25" s="234">
        <v>0.768316</v>
      </c>
      <c r="Y25" s="234">
        <v>0.79508800000000002</v>
      </c>
      <c r="Z25" s="234">
        <v>0.63921600000000001</v>
      </c>
      <c r="AA25" s="234">
        <v>0.68924200000000002</v>
      </c>
      <c r="AB25" s="234">
        <v>0.79075300000000004</v>
      </c>
      <c r="AC25" s="234">
        <v>0.66698500000000005</v>
      </c>
      <c r="AD25" s="234">
        <v>0.658999</v>
      </c>
      <c r="AE25" s="234">
        <v>0.67885700000000004</v>
      </c>
      <c r="AF25" s="234">
        <v>0.75522</v>
      </c>
      <c r="AG25" s="234">
        <v>0.693137</v>
      </c>
      <c r="AH25" s="234">
        <v>1.1647430000000001</v>
      </c>
      <c r="AI25" s="234">
        <v>1.2721009999999999</v>
      </c>
      <c r="AJ25" s="234">
        <v>1.164458</v>
      </c>
      <c r="AK25" s="234">
        <v>1.3061</v>
      </c>
      <c r="AL25" s="234">
        <v>1.1885380000000001</v>
      </c>
      <c r="AM25" s="234">
        <v>1.164488</v>
      </c>
      <c r="AN25" s="234">
        <v>1.180504</v>
      </c>
      <c r="AO25" s="234">
        <v>1.180482</v>
      </c>
      <c r="AP25" s="234">
        <v>1.275517</v>
      </c>
      <c r="AQ25" s="234">
        <v>1.2547999999999999</v>
      </c>
      <c r="AR25" s="234">
        <v>1.20522</v>
      </c>
      <c r="AS25" s="234">
        <v>1.2755110000000001</v>
      </c>
      <c r="AT25" s="234">
        <v>1.312961</v>
      </c>
      <c r="AU25" s="234">
        <v>1.239587</v>
      </c>
      <c r="AV25" s="234">
        <v>1.2761100000000001</v>
      </c>
      <c r="AW25" s="234">
        <v>1.242375</v>
      </c>
      <c r="AX25" s="234">
        <v>1.2191829999999999</v>
      </c>
      <c r="AY25" s="234">
        <v>1.3258369999999999</v>
      </c>
      <c r="AZ25" s="234">
        <v>1.2273970000000001</v>
      </c>
      <c r="BA25" s="234">
        <v>1.24139</v>
      </c>
      <c r="BB25" s="235"/>
      <c r="BC25" s="234">
        <v>1.242297</v>
      </c>
      <c r="BD25" s="234">
        <v>1.2764530000000001</v>
      </c>
      <c r="BE25" s="234">
        <v>1.2859290000000001</v>
      </c>
      <c r="BF25" s="234">
        <v>1.242432</v>
      </c>
      <c r="BG25" s="234">
        <v>1.255347</v>
      </c>
      <c r="BH25" s="234">
        <v>1.268095</v>
      </c>
      <c r="BI25" s="234">
        <v>1.3087979999999999</v>
      </c>
      <c r="BJ25" s="234">
        <v>1.2616799999999999</v>
      </c>
      <c r="BK25" s="234">
        <v>1.256006</v>
      </c>
      <c r="BL25" s="234">
        <v>1.2670570000000001</v>
      </c>
      <c r="BM25" s="234">
        <v>1.278195</v>
      </c>
      <c r="BN25" s="234">
        <v>1.2726360000000001</v>
      </c>
      <c r="BO25" s="234">
        <v>3.5088430000000002</v>
      </c>
      <c r="BP25" s="234">
        <v>3.7904879999999999</v>
      </c>
      <c r="BQ25" s="234">
        <v>3.812916</v>
      </c>
      <c r="BR25" s="234">
        <v>3.5080830000000001</v>
      </c>
      <c r="BS25" s="234">
        <v>3.5308549999999999</v>
      </c>
      <c r="BT25" s="234">
        <v>3.5525989999999998</v>
      </c>
      <c r="BU25" s="234">
        <v>3.6434799999999998</v>
      </c>
      <c r="BV25" s="234">
        <v>3.5419520000000002</v>
      </c>
      <c r="BW25" s="234">
        <v>3.5401600000000002</v>
      </c>
      <c r="BX25" s="234">
        <v>3.5591949999999999</v>
      </c>
      <c r="BY25" s="234">
        <v>3.577909</v>
      </c>
      <c r="BZ25" s="234">
        <v>3.5687509999999998</v>
      </c>
      <c r="CA25" s="234">
        <v>0.36877300000000002</v>
      </c>
      <c r="CB25" s="234">
        <v>0.36948900000000001</v>
      </c>
      <c r="CC25" s="234">
        <v>0.36769000000000002</v>
      </c>
      <c r="CD25" s="234">
        <v>0.384245</v>
      </c>
      <c r="CE25" s="234">
        <v>0.38056699999999999</v>
      </c>
      <c r="CF25" s="234">
        <v>0.36824600000000002</v>
      </c>
      <c r="CG25" s="234">
        <v>0.36886099999999999</v>
      </c>
      <c r="CH25" s="234">
        <v>0.368201</v>
      </c>
      <c r="CI25" s="234">
        <v>1.299094</v>
      </c>
      <c r="CJ25" s="234">
        <v>1.3243370000000001</v>
      </c>
      <c r="CK25" s="234">
        <v>1.3344929999999999</v>
      </c>
      <c r="CL25" s="234">
        <v>1.2992170000000001</v>
      </c>
      <c r="CM25" s="234">
        <v>1.3126629999999999</v>
      </c>
      <c r="CN25" s="234">
        <v>1.3262400000000001</v>
      </c>
      <c r="CO25" s="234">
        <v>1.359199</v>
      </c>
      <c r="CP25" s="234">
        <v>1.31931</v>
      </c>
      <c r="CQ25" s="234">
        <v>1.3140849999999999</v>
      </c>
      <c r="CR25" s="234">
        <v>1.3249359999999999</v>
      </c>
      <c r="CS25" s="234">
        <v>1.336425</v>
      </c>
      <c r="CT25" s="234">
        <v>1.3305359999999999</v>
      </c>
      <c r="CU25" s="234">
        <v>2.0373380000000001</v>
      </c>
      <c r="CV25" s="234">
        <v>2.0366209999999998</v>
      </c>
      <c r="CW25" s="234">
        <v>2.1692309999999999</v>
      </c>
      <c r="CX25" s="234">
        <v>2.0326759999999999</v>
      </c>
      <c r="CY25" s="234">
        <v>2.0967440000000002</v>
      </c>
      <c r="CZ25" s="234">
        <v>2.1195249999999999</v>
      </c>
      <c r="DA25" s="234">
        <v>2.1827779999999999</v>
      </c>
      <c r="DB25" s="234">
        <v>2.030945</v>
      </c>
      <c r="DC25" s="234">
        <v>0</v>
      </c>
      <c r="DD25" s="234">
        <v>0</v>
      </c>
      <c r="DE25" s="234">
        <v>0</v>
      </c>
      <c r="DF25" s="234">
        <v>0</v>
      </c>
      <c r="DG25" s="234">
        <v>0</v>
      </c>
      <c r="DH25" s="234">
        <v>0</v>
      </c>
      <c r="DI25" s="234">
        <v>0</v>
      </c>
      <c r="DJ25" s="234">
        <v>0</v>
      </c>
      <c r="DK25" s="236"/>
      <c r="DL25" s="234">
        <v>21.880500000000001</v>
      </c>
      <c r="DM25" s="234">
        <v>113.0165330433269</v>
      </c>
      <c r="DN25" s="234">
        <v>144.40689410368364</v>
      </c>
      <c r="DO25" s="234">
        <v>154.28876432747239</v>
      </c>
      <c r="DP25" s="234">
        <v>6.5253119999999996</v>
      </c>
      <c r="DQ25" s="234">
        <v>159.6545186296795</v>
      </c>
      <c r="DR25" s="234">
        <v>170.5698439723291</v>
      </c>
      <c r="DS25" s="234">
        <v>5.5942627435788355</v>
      </c>
      <c r="DT25" s="234">
        <v>6.2735545533664938</v>
      </c>
      <c r="DU25" s="237"/>
      <c r="DV25" s="238">
        <v>36840.730000000003</v>
      </c>
      <c r="DW25" s="238">
        <v>3500.31</v>
      </c>
      <c r="DX25" s="238">
        <v>76588.532955000002</v>
      </c>
      <c r="DY25" s="238">
        <v>12110.698</v>
      </c>
      <c r="DZ25" s="238">
        <v>264988.12758900004</v>
      </c>
      <c r="EB25" s="239">
        <v>44074</v>
      </c>
      <c r="EC25" s="239">
        <v>44104</v>
      </c>
    </row>
    <row r="26" spans="1:133" x14ac:dyDescent="0.35">
      <c r="A26" s="233">
        <v>44104</v>
      </c>
      <c r="B26" s="234">
        <v>2.9145819999999998</v>
      </c>
      <c r="C26" s="234">
        <v>3.2966769999999999</v>
      </c>
      <c r="D26" s="234">
        <v>2.9145799999999999</v>
      </c>
      <c r="E26" s="234">
        <v>3.354679</v>
      </c>
      <c r="F26" s="234">
        <v>2.9890479999999999</v>
      </c>
      <c r="G26" s="234">
        <v>2.9470239999999999</v>
      </c>
      <c r="H26" s="234">
        <v>2.9251779999999998</v>
      </c>
      <c r="I26" s="234">
        <v>2.9575499999999999</v>
      </c>
      <c r="J26" s="234">
        <v>2.5104929999999999</v>
      </c>
      <c r="K26" s="234">
        <v>2.6118980000000001</v>
      </c>
      <c r="L26" s="234">
        <v>4.8979600000000003</v>
      </c>
      <c r="M26" s="234">
        <v>0</v>
      </c>
      <c r="N26" s="234">
        <v>5.611351</v>
      </c>
      <c r="O26" s="234">
        <v>0</v>
      </c>
      <c r="P26" s="234">
        <v>4.8979569999999999</v>
      </c>
      <c r="Q26" s="234">
        <v>5.7105030000000001</v>
      </c>
      <c r="R26" s="234">
        <v>5.0553109999999997</v>
      </c>
      <c r="S26" s="234">
        <v>5.0217749999999999</v>
      </c>
      <c r="T26" s="234">
        <v>5.2898529999999999</v>
      </c>
      <c r="U26" s="234">
        <v>0</v>
      </c>
      <c r="V26" s="234">
        <v>5.4144940000000004</v>
      </c>
      <c r="W26" s="234">
        <v>0.63964100000000002</v>
      </c>
      <c r="X26" s="234">
        <v>0.77029099999999995</v>
      </c>
      <c r="Y26" s="234">
        <v>0.79732199999999998</v>
      </c>
      <c r="Z26" s="234">
        <v>0.63964100000000002</v>
      </c>
      <c r="AA26" s="234">
        <v>0.69008700000000001</v>
      </c>
      <c r="AB26" s="234">
        <v>0.79369100000000004</v>
      </c>
      <c r="AC26" s="234">
        <v>0.668574</v>
      </c>
      <c r="AD26" s="234">
        <v>0.66060600000000003</v>
      </c>
      <c r="AE26" s="234">
        <v>0.67951700000000004</v>
      </c>
      <c r="AF26" s="234">
        <v>0.756579</v>
      </c>
      <c r="AG26" s="234">
        <v>0.69474800000000003</v>
      </c>
      <c r="AH26" s="234">
        <v>1.175297</v>
      </c>
      <c r="AI26" s="234">
        <v>1.2840339999999999</v>
      </c>
      <c r="AJ26" s="234">
        <v>1.1750100000000001</v>
      </c>
      <c r="AK26" s="234">
        <v>1.319669</v>
      </c>
      <c r="AL26" s="234">
        <v>1.200285</v>
      </c>
      <c r="AM26" s="234">
        <v>1.1750419999999999</v>
      </c>
      <c r="AN26" s="234">
        <v>1.191206</v>
      </c>
      <c r="AO26" s="234">
        <v>1.1911910000000001</v>
      </c>
      <c r="AP26" s="234">
        <v>1.2778160000000001</v>
      </c>
      <c r="AQ26" s="234">
        <v>1.258683</v>
      </c>
      <c r="AR26" s="234">
        <v>1.206744</v>
      </c>
      <c r="AS26" s="234">
        <v>1.2778099999999999</v>
      </c>
      <c r="AT26" s="234">
        <v>1.31568</v>
      </c>
      <c r="AU26" s="234">
        <v>1.2414879999999999</v>
      </c>
      <c r="AV26" s="234">
        <v>1.280904</v>
      </c>
      <c r="AW26" s="234">
        <v>1.245468</v>
      </c>
      <c r="AX26" s="234">
        <v>1.2218359999999999</v>
      </c>
      <c r="AY26" s="234">
        <v>1.3296920000000001</v>
      </c>
      <c r="AZ26" s="234">
        <v>1.229851</v>
      </c>
      <c r="BA26" s="234">
        <v>1.2449870000000001</v>
      </c>
      <c r="BB26" s="235"/>
      <c r="BC26" s="234">
        <v>1.230281</v>
      </c>
      <c r="BD26" s="234">
        <v>1.265366</v>
      </c>
      <c r="BE26" s="234">
        <v>1.275058</v>
      </c>
      <c r="BF26" s="234">
        <v>1.230415</v>
      </c>
      <c r="BG26" s="234">
        <v>1.243522</v>
      </c>
      <c r="BH26" s="234">
        <v>1.256459</v>
      </c>
      <c r="BI26" s="234">
        <v>1.298448</v>
      </c>
      <c r="BJ26" s="234">
        <v>1.249943</v>
      </c>
      <c r="BK26" s="234">
        <v>1.2443169999999999</v>
      </c>
      <c r="BL26" s="234">
        <v>1.2555430000000001</v>
      </c>
      <c r="BM26" s="234">
        <v>1.2668470000000001</v>
      </c>
      <c r="BN26" s="234">
        <v>1.2612030000000001</v>
      </c>
      <c r="BO26" s="234">
        <v>3.4508730000000001</v>
      </c>
      <c r="BP26" s="234">
        <v>3.7301120000000001</v>
      </c>
      <c r="BQ26" s="234">
        <v>3.7530730000000001</v>
      </c>
      <c r="BR26" s="234">
        <v>3.450126</v>
      </c>
      <c r="BS26" s="234">
        <v>3.4733879999999999</v>
      </c>
      <c r="BT26" s="234">
        <v>3.4956170000000002</v>
      </c>
      <c r="BU26" s="234">
        <v>3.5889259999999998</v>
      </c>
      <c r="BV26" s="234">
        <v>3.4847389999999998</v>
      </c>
      <c r="BW26" s="234">
        <v>3.4829750000000002</v>
      </c>
      <c r="BX26" s="234">
        <v>3.5024090000000001</v>
      </c>
      <c r="BY26" s="234">
        <v>3.5215679999999998</v>
      </c>
      <c r="BZ26" s="234">
        <v>3.512184</v>
      </c>
      <c r="CA26" s="234">
        <v>0.35836899999999999</v>
      </c>
      <c r="CB26" s="234">
        <v>0.35911500000000002</v>
      </c>
      <c r="CC26" s="234">
        <v>0.35720299999999999</v>
      </c>
      <c r="CD26" s="234">
        <v>0.37407800000000002</v>
      </c>
      <c r="CE26" s="234">
        <v>0.37025999999999998</v>
      </c>
      <c r="CF26" s="234">
        <v>0.357792</v>
      </c>
      <c r="CG26" s="234">
        <v>0.35845500000000002</v>
      </c>
      <c r="CH26" s="234">
        <v>0.35774499999999998</v>
      </c>
      <c r="CI26" s="234">
        <v>1.279142</v>
      </c>
      <c r="CJ26" s="234">
        <v>1.3050109999999999</v>
      </c>
      <c r="CK26" s="234">
        <v>1.3153490000000001</v>
      </c>
      <c r="CL26" s="234">
        <v>1.279263</v>
      </c>
      <c r="CM26" s="234">
        <v>1.292829</v>
      </c>
      <c r="CN26" s="234">
        <v>1.3065310000000001</v>
      </c>
      <c r="CO26" s="234">
        <v>1.340406</v>
      </c>
      <c r="CP26" s="234">
        <v>1.2995399999999999</v>
      </c>
      <c r="CQ26" s="234">
        <v>1.294397</v>
      </c>
      <c r="CR26" s="234">
        <v>1.3053570000000001</v>
      </c>
      <c r="CS26" s="234">
        <v>1.3169580000000001</v>
      </c>
      <c r="CT26" s="234">
        <v>1.3110139999999999</v>
      </c>
      <c r="CU26" s="234">
        <v>2.0610620000000002</v>
      </c>
      <c r="CV26" s="234">
        <v>2.0606420000000001</v>
      </c>
      <c r="CW26" s="234">
        <v>2.2001870000000001</v>
      </c>
      <c r="CX26" s="234">
        <v>2.056581</v>
      </c>
      <c r="CY26" s="234">
        <v>2.1236920000000001</v>
      </c>
      <c r="CZ26" s="234">
        <v>2.1480380000000001</v>
      </c>
      <c r="DA26" s="234">
        <v>2.2147250000000001</v>
      </c>
      <c r="DB26" s="234">
        <v>2.0545279999999999</v>
      </c>
      <c r="DC26" s="234">
        <v>0</v>
      </c>
      <c r="DD26" s="234">
        <v>0</v>
      </c>
      <c r="DE26" s="234">
        <v>0</v>
      </c>
      <c r="DF26" s="234">
        <v>0</v>
      </c>
      <c r="DG26" s="234">
        <v>0</v>
      </c>
      <c r="DH26" s="234">
        <v>0</v>
      </c>
      <c r="DI26" s="234">
        <v>0</v>
      </c>
      <c r="DJ26" s="234">
        <v>0</v>
      </c>
      <c r="DK26" s="236"/>
      <c r="DL26" s="234">
        <v>22.107500000000002</v>
      </c>
      <c r="DM26" s="234">
        <v>113.12389874971807</v>
      </c>
      <c r="DN26" s="234">
        <v>144.695707891891</v>
      </c>
      <c r="DO26" s="234">
        <v>154.78377411302301</v>
      </c>
      <c r="DP26" s="234">
        <v>6.5495789999999996</v>
      </c>
      <c r="DQ26" s="234">
        <v>160.0895771929454</v>
      </c>
      <c r="DR26" s="234">
        <v>171.24075202528692</v>
      </c>
      <c r="DS26" s="234">
        <v>5.6077449167908604</v>
      </c>
      <c r="DT26" s="234">
        <v>6.2962543649254243</v>
      </c>
      <c r="DU26" s="237"/>
      <c r="DV26" s="238">
        <v>37458.69</v>
      </c>
      <c r="DW26" s="238">
        <v>3363</v>
      </c>
      <c r="DX26" s="238">
        <v>74347.522500000006</v>
      </c>
      <c r="DY26" s="238">
        <v>11418.063</v>
      </c>
      <c r="DZ26" s="238">
        <v>252424.82777250002</v>
      </c>
      <c r="EB26" s="239">
        <v>44104</v>
      </c>
      <c r="EC26" s="239">
        <v>44134</v>
      </c>
    </row>
    <row r="27" spans="1:133" x14ac:dyDescent="0.35">
      <c r="A27" s="233">
        <v>44134</v>
      </c>
      <c r="B27" s="234">
        <v>2.9130240000000001</v>
      </c>
      <c r="C27" s="234">
        <v>3.300818</v>
      </c>
      <c r="D27" s="234">
        <v>2.9130219999999998</v>
      </c>
      <c r="E27" s="234">
        <v>3.3613529999999998</v>
      </c>
      <c r="F27" s="234">
        <v>2.9906730000000001</v>
      </c>
      <c r="G27" s="234">
        <v>2.947889</v>
      </c>
      <c r="H27" s="234">
        <v>2.9236270000000002</v>
      </c>
      <c r="I27" s="234">
        <v>2.9584130000000002</v>
      </c>
      <c r="J27" s="234">
        <v>2.5133580000000002</v>
      </c>
      <c r="K27" s="234">
        <v>2.6187309999999999</v>
      </c>
      <c r="L27" s="234">
        <v>4.9016390000000003</v>
      </c>
      <c r="M27" s="234">
        <v>0</v>
      </c>
      <c r="N27" s="234">
        <v>5.6253419999999998</v>
      </c>
      <c r="O27" s="234">
        <v>5.6300189999999999</v>
      </c>
      <c r="P27" s="234">
        <v>4.9016359999999999</v>
      </c>
      <c r="Q27" s="234">
        <v>5.7317679999999998</v>
      </c>
      <c r="R27" s="234">
        <v>5.0659619999999999</v>
      </c>
      <c r="S27" s="234">
        <v>5.0328600000000003</v>
      </c>
      <c r="T27" s="234">
        <v>5.2985550000000003</v>
      </c>
      <c r="U27" s="234">
        <v>5.3003169999999997</v>
      </c>
      <c r="V27" s="234">
        <v>5.4306609999999997</v>
      </c>
      <c r="W27" s="234">
        <v>0.63993</v>
      </c>
      <c r="X27" s="234">
        <v>0.77224999999999999</v>
      </c>
      <c r="Y27" s="234">
        <v>0.79955699999999996</v>
      </c>
      <c r="Z27" s="234">
        <v>0.63993</v>
      </c>
      <c r="AA27" s="234">
        <v>0.69082699999999997</v>
      </c>
      <c r="AB27" s="234">
        <v>0.79670799999999997</v>
      </c>
      <c r="AC27" s="234">
        <v>0.67013999999999996</v>
      </c>
      <c r="AD27" s="234">
        <v>0.66223600000000005</v>
      </c>
      <c r="AE27" s="234">
        <v>0.68005400000000005</v>
      </c>
      <c r="AF27" s="234">
        <v>0.75786600000000004</v>
      </c>
      <c r="AG27" s="234">
        <v>0.69637499999999997</v>
      </c>
      <c r="AH27" s="234">
        <v>1.126293</v>
      </c>
      <c r="AI27" s="234">
        <v>1.230928</v>
      </c>
      <c r="AJ27" s="234">
        <v>1.126017</v>
      </c>
      <c r="AK27" s="234">
        <v>1.2664850000000001</v>
      </c>
      <c r="AL27" s="234">
        <v>1.15127</v>
      </c>
      <c r="AM27" s="234">
        <v>1.1260509999999999</v>
      </c>
      <c r="AN27" s="234">
        <v>1.1415439999999999</v>
      </c>
      <c r="AO27" s="234">
        <v>1.1415379999999999</v>
      </c>
      <c r="AP27" s="234">
        <v>1.2800119999999999</v>
      </c>
      <c r="AQ27" s="234">
        <v>1.262643</v>
      </c>
      <c r="AR27" s="234">
        <v>1.2081029999999999</v>
      </c>
      <c r="AS27" s="234">
        <v>1.280006</v>
      </c>
      <c r="AT27" s="234">
        <v>1.31833</v>
      </c>
      <c r="AU27" s="234">
        <v>1.2432540000000001</v>
      </c>
      <c r="AV27" s="234">
        <v>1.285873</v>
      </c>
      <c r="AW27" s="234">
        <v>1.24855</v>
      </c>
      <c r="AX27" s="234">
        <v>1.224558</v>
      </c>
      <c r="AY27" s="234">
        <v>1.3337140000000001</v>
      </c>
      <c r="AZ27" s="234">
        <v>1.232232</v>
      </c>
      <c r="BA27" s="234">
        <v>1.2487509999999999</v>
      </c>
      <c r="BB27" s="235"/>
      <c r="BC27" s="234">
        <v>1.203546</v>
      </c>
      <c r="BD27" s="234">
        <v>1.2392449999999999</v>
      </c>
      <c r="BE27" s="234">
        <v>1.2490589999999999</v>
      </c>
      <c r="BF27" s="234">
        <v>1.2036770000000001</v>
      </c>
      <c r="BG27" s="234">
        <v>1.2168410000000001</v>
      </c>
      <c r="BH27" s="234">
        <v>1.229832</v>
      </c>
      <c r="BI27" s="234">
        <v>1.272721</v>
      </c>
      <c r="BJ27" s="234">
        <v>1.2232829999999999</v>
      </c>
      <c r="BK27" s="234">
        <v>1.21777</v>
      </c>
      <c r="BL27" s="234">
        <v>1.229055</v>
      </c>
      <c r="BM27" s="234">
        <v>1.2404109999999999</v>
      </c>
      <c r="BN27" s="234">
        <v>1.2347360000000001</v>
      </c>
      <c r="BO27" s="234">
        <v>3.2877649999999998</v>
      </c>
      <c r="BP27" s="234">
        <v>3.5562079999999998</v>
      </c>
      <c r="BQ27" s="234">
        <v>3.579037</v>
      </c>
      <c r="BR27" s="234">
        <v>3.2870529999999998</v>
      </c>
      <c r="BS27" s="234">
        <v>3.3101250000000002</v>
      </c>
      <c r="BT27" s="234">
        <v>3.3321890000000001</v>
      </c>
      <c r="BU27" s="234">
        <v>3.4252180000000001</v>
      </c>
      <c r="BV27" s="234">
        <v>3.321399</v>
      </c>
      <c r="BW27" s="234">
        <v>3.3197169999999998</v>
      </c>
      <c r="BX27" s="234">
        <v>3.3389850000000001</v>
      </c>
      <c r="BY27" s="234">
        <v>3.3580260000000002</v>
      </c>
      <c r="BZ27" s="234">
        <v>3.3487010000000001</v>
      </c>
      <c r="CA27" s="234">
        <v>0.33798600000000001</v>
      </c>
      <c r="CB27" s="234">
        <v>0.33874599999999999</v>
      </c>
      <c r="CC27" s="234">
        <v>0.33688600000000002</v>
      </c>
      <c r="CD27" s="234">
        <v>0.35350799999999999</v>
      </c>
      <c r="CE27" s="234">
        <v>0.349769</v>
      </c>
      <c r="CF27" s="234">
        <v>0.33749899999999999</v>
      </c>
      <c r="CG27" s="234">
        <v>0.33806700000000001</v>
      </c>
      <c r="CH27" s="234">
        <v>0.33745199999999997</v>
      </c>
      <c r="CI27" s="234">
        <v>1.235546</v>
      </c>
      <c r="CJ27" s="234">
        <v>1.261592</v>
      </c>
      <c r="CK27" s="234">
        <v>1.271938</v>
      </c>
      <c r="CL27" s="234">
        <v>1.235663</v>
      </c>
      <c r="CM27" s="234">
        <v>1.2491140000000001</v>
      </c>
      <c r="CN27" s="234">
        <v>1.262704</v>
      </c>
      <c r="CO27" s="234">
        <v>1.2969390000000001</v>
      </c>
      <c r="CP27" s="234">
        <v>1.255773</v>
      </c>
      <c r="CQ27" s="234">
        <v>1.250802</v>
      </c>
      <c r="CR27" s="234">
        <v>1.2616879999999999</v>
      </c>
      <c r="CS27" s="234">
        <v>1.273204</v>
      </c>
      <c r="CT27" s="234">
        <v>1.267306</v>
      </c>
      <c r="CU27" s="234">
        <v>2.0311970000000001</v>
      </c>
      <c r="CV27" s="234">
        <v>2.0310809999999999</v>
      </c>
      <c r="CW27" s="234">
        <v>2.1744810000000001</v>
      </c>
      <c r="CX27" s="234">
        <v>2.0269940000000002</v>
      </c>
      <c r="CY27" s="234">
        <v>2.0956670000000002</v>
      </c>
      <c r="CZ27" s="234">
        <v>2.1210390000000001</v>
      </c>
      <c r="DA27" s="234">
        <v>2.1897329999999999</v>
      </c>
      <c r="DB27" s="234">
        <v>2.02467</v>
      </c>
      <c r="DC27" s="234">
        <v>0</v>
      </c>
      <c r="DD27" s="234">
        <v>0</v>
      </c>
      <c r="DE27" s="234">
        <v>0</v>
      </c>
      <c r="DF27" s="234">
        <v>0</v>
      </c>
      <c r="DG27" s="234">
        <v>0</v>
      </c>
      <c r="DH27" s="234">
        <v>0</v>
      </c>
      <c r="DI27" s="234">
        <v>0</v>
      </c>
      <c r="DJ27" s="234">
        <v>0</v>
      </c>
      <c r="DK27" s="236"/>
      <c r="DL27" s="234">
        <v>21.212499999999999</v>
      </c>
      <c r="DM27" s="234">
        <v>113.22665295774905</v>
      </c>
      <c r="DN27" s="234">
        <v>144.9670123441883</v>
      </c>
      <c r="DO27" s="234">
        <v>155.26102408320483</v>
      </c>
      <c r="DP27" s="234">
        <v>6.5657129999999997</v>
      </c>
      <c r="DQ27" s="234">
        <v>160.50047377440728</v>
      </c>
      <c r="DR27" s="234">
        <v>171.88718586418238</v>
      </c>
      <c r="DS27" s="234">
        <v>5.6206427300994788</v>
      </c>
      <c r="DT27" s="234">
        <v>6.3183437239890372</v>
      </c>
      <c r="DU27" s="237"/>
      <c r="DV27" s="238">
        <v>36987.86</v>
      </c>
      <c r="DW27" s="238">
        <v>3269.96</v>
      </c>
      <c r="DX27" s="238">
        <v>69364.026499999993</v>
      </c>
      <c r="DY27" s="238">
        <v>11084.757</v>
      </c>
      <c r="DZ27" s="238">
        <v>235135.40786249997</v>
      </c>
      <c r="EB27" s="239">
        <v>44134</v>
      </c>
      <c r="EC27" s="239">
        <v>44165</v>
      </c>
    </row>
    <row r="28" spans="1:133" x14ac:dyDescent="0.35">
      <c r="A28" s="233">
        <v>44165</v>
      </c>
      <c r="B28" s="234">
        <v>2.9314480000000001</v>
      </c>
      <c r="C28" s="234">
        <v>3.3267799999999998</v>
      </c>
      <c r="D28" s="234">
        <v>2.9314460000000002</v>
      </c>
      <c r="E28" s="234">
        <v>3.3899029999999999</v>
      </c>
      <c r="F28" s="234">
        <v>3.012346</v>
      </c>
      <c r="G28" s="234">
        <v>2.968785</v>
      </c>
      <c r="H28" s="234">
        <v>2.9421300000000001</v>
      </c>
      <c r="I28" s="234">
        <v>2.9793949999999998</v>
      </c>
      <c r="J28" s="234">
        <v>2.5157829999999999</v>
      </c>
      <c r="K28" s="234">
        <v>2.624539</v>
      </c>
      <c r="L28" s="234">
        <v>4.905087</v>
      </c>
      <c r="M28" s="234">
        <v>0</v>
      </c>
      <c r="N28" s="234">
        <v>5.6362199999999998</v>
      </c>
      <c r="O28" s="234">
        <v>5.6471689999999999</v>
      </c>
      <c r="P28" s="234">
        <v>4.9050830000000003</v>
      </c>
      <c r="Q28" s="234">
        <v>5.7502399999999998</v>
      </c>
      <c r="R28" s="234">
        <v>5.0753579999999996</v>
      </c>
      <c r="S28" s="234">
        <v>5.042592</v>
      </c>
      <c r="T28" s="234">
        <v>5.3063039999999999</v>
      </c>
      <c r="U28" s="234">
        <v>5.3104269999999998</v>
      </c>
      <c r="V28" s="234">
        <v>5.4447429999999999</v>
      </c>
      <c r="W28" s="234">
        <v>0.64021300000000003</v>
      </c>
      <c r="X28" s="234">
        <v>0.77395700000000001</v>
      </c>
      <c r="Y28" s="234">
        <v>0.80150299999999997</v>
      </c>
      <c r="Z28" s="234">
        <v>0.64021399999999995</v>
      </c>
      <c r="AA28" s="234">
        <v>0.691496</v>
      </c>
      <c r="AB28" s="234">
        <v>0.79932000000000003</v>
      </c>
      <c r="AC28" s="234">
        <v>0.67151300000000003</v>
      </c>
      <c r="AD28" s="234">
        <v>0.66366000000000003</v>
      </c>
      <c r="AE28" s="234">
        <v>0.68055100000000002</v>
      </c>
      <c r="AF28" s="234">
        <v>0.75900599999999996</v>
      </c>
      <c r="AG28" s="234">
        <v>0.697801</v>
      </c>
      <c r="AH28" s="234">
        <v>1.0688949999999999</v>
      </c>
      <c r="AI28" s="234">
        <v>1.1684760000000001</v>
      </c>
      <c r="AJ28" s="234">
        <v>1.0686329999999999</v>
      </c>
      <c r="AK28" s="234">
        <v>1.2033469999999999</v>
      </c>
      <c r="AL28" s="234">
        <v>1.0934299999999999</v>
      </c>
      <c r="AM28" s="234">
        <v>1.068667</v>
      </c>
      <c r="AN28" s="234">
        <v>1.083372</v>
      </c>
      <c r="AO28" s="234">
        <v>1.0833710000000001</v>
      </c>
      <c r="AP28" s="234">
        <v>1.281906</v>
      </c>
      <c r="AQ28" s="234">
        <v>1.2660340000000001</v>
      </c>
      <c r="AR28" s="234">
        <v>1.209282</v>
      </c>
      <c r="AS28" s="234">
        <v>1.2819</v>
      </c>
      <c r="AT28" s="234">
        <v>1.320611</v>
      </c>
      <c r="AU28" s="234">
        <v>1.2447809999999999</v>
      </c>
      <c r="AV28" s="234">
        <v>1.2901260000000001</v>
      </c>
      <c r="AW28" s="234">
        <v>1.251199</v>
      </c>
      <c r="AX28" s="234">
        <v>1.226917</v>
      </c>
      <c r="AY28" s="234">
        <v>1.3371839999999999</v>
      </c>
      <c r="AZ28" s="234">
        <v>1.234281</v>
      </c>
      <c r="BA28" s="234">
        <v>1.251987</v>
      </c>
      <c r="BB28" s="235"/>
      <c r="BC28" s="234">
        <v>1.219322</v>
      </c>
      <c r="BD28" s="234">
        <v>1.2566980000000001</v>
      </c>
      <c r="BE28" s="234">
        <v>1.266921</v>
      </c>
      <c r="BF28" s="234">
        <v>1.219455</v>
      </c>
      <c r="BG28" s="234">
        <v>1.2330859999999999</v>
      </c>
      <c r="BH28" s="234">
        <v>1.246537</v>
      </c>
      <c r="BI28" s="234">
        <v>1.291552</v>
      </c>
      <c r="BJ28" s="234">
        <v>1.239751</v>
      </c>
      <c r="BK28" s="234">
        <v>1.2341580000000001</v>
      </c>
      <c r="BL28" s="234">
        <v>1.245854</v>
      </c>
      <c r="BM28" s="234">
        <v>1.2576130000000001</v>
      </c>
      <c r="BN28" s="234">
        <v>1.251735</v>
      </c>
      <c r="BO28" s="234">
        <v>3.3555489999999999</v>
      </c>
      <c r="BP28" s="234">
        <v>3.6316869999999999</v>
      </c>
      <c r="BQ28" s="234">
        <v>3.655824</v>
      </c>
      <c r="BR28" s="234">
        <v>3.3548209999999998</v>
      </c>
      <c r="BS28" s="234">
        <v>3.3791570000000002</v>
      </c>
      <c r="BT28" s="234">
        <v>3.4024450000000002</v>
      </c>
      <c r="BU28" s="234">
        <v>3.5009790000000001</v>
      </c>
      <c r="BV28" s="234">
        <v>3.3910610000000001</v>
      </c>
      <c r="BW28" s="234">
        <v>3.3893439999999999</v>
      </c>
      <c r="BX28" s="234">
        <v>3.4096600000000001</v>
      </c>
      <c r="BY28" s="234">
        <v>3.4297789999999999</v>
      </c>
      <c r="BZ28" s="234">
        <v>3.4199250000000001</v>
      </c>
      <c r="CA28" s="234">
        <v>0.35294300000000001</v>
      </c>
      <c r="CB28" s="234">
        <v>0.353794</v>
      </c>
      <c r="CC28" s="234">
        <v>0.35179500000000002</v>
      </c>
      <c r="CD28" s="234">
        <v>0.36978299999999997</v>
      </c>
      <c r="CE28" s="234">
        <v>0.36575200000000002</v>
      </c>
      <c r="CF28" s="234">
        <v>0.352489</v>
      </c>
      <c r="CG28" s="234">
        <v>0.35302800000000001</v>
      </c>
      <c r="CH28" s="234">
        <v>0.35243999999999998</v>
      </c>
      <c r="CI28" s="234">
        <v>1.2621150000000001</v>
      </c>
      <c r="CJ28" s="234">
        <v>1.289658</v>
      </c>
      <c r="CK28" s="234">
        <v>1.300543</v>
      </c>
      <c r="CL28" s="234">
        <v>1.262235</v>
      </c>
      <c r="CM28" s="234">
        <v>1.2762770000000001</v>
      </c>
      <c r="CN28" s="234">
        <v>1.2904659999999999</v>
      </c>
      <c r="CO28" s="234">
        <v>1.326754</v>
      </c>
      <c r="CP28" s="234">
        <v>1.283231</v>
      </c>
      <c r="CQ28" s="234">
        <v>1.278154</v>
      </c>
      <c r="CR28" s="234">
        <v>1.2895300000000001</v>
      </c>
      <c r="CS28" s="234">
        <v>1.301572</v>
      </c>
      <c r="CT28" s="234">
        <v>1.295412</v>
      </c>
      <c r="CU28" s="234">
        <v>2.2762370000000001</v>
      </c>
      <c r="CV28" s="234">
        <v>2.276373</v>
      </c>
      <c r="CW28" s="234">
        <v>2.442339</v>
      </c>
      <c r="CX28" s="234">
        <v>2.2714059999999998</v>
      </c>
      <c r="CY28" s="234">
        <v>2.3511000000000002</v>
      </c>
      <c r="CZ28" s="234">
        <v>2.380477</v>
      </c>
      <c r="DA28" s="234">
        <v>2.4606309999999998</v>
      </c>
      <c r="DB28" s="234">
        <v>2.2685219999999999</v>
      </c>
      <c r="DC28" s="234">
        <v>0</v>
      </c>
      <c r="DD28" s="234">
        <v>0</v>
      </c>
      <c r="DE28" s="234">
        <v>0</v>
      </c>
      <c r="DF28" s="234">
        <v>0</v>
      </c>
      <c r="DG28" s="234">
        <v>0</v>
      </c>
      <c r="DH28" s="234">
        <v>0</v>
      </c>
      <c r="DI28" s="234">
        <v>0</v>
      </c>
      <c r="DJ28" s="234">
        <v>0</v>
      </c>
      <c r="DK28" s="236"/>
      <c r="DL28" s="234">
        <v>20.1555</v>
      </c>
      <c r="DM28" s="234">
        <v>113.33390375957848</v>
      </c>
      <c r="DN28" s="234">
        <v>145.23415433304703</v>
      </c>
      <c r="DO28" s="234">
        <v>155.74099628793314</v>
      </c>
      <c r="DP28" s="234">
        <v>6.6019300000000003</v>
      </c>
      <c r="DQ28" s="234">
        <v>160.92201043538978</v>
      </c>
      <c r="DR28" s="234">
        <v>172.55324870940609</v>
      </c>
      <c r="DS28" s="234">
        <v>5.6340858242847123</v>
      </c>
      <c r="DT28" s="234">
        <v>6.341344689013706</v>
      </c>
      <c r="DU28" s="237"/>
      <c r="DV28" s="238">
        <v>41778.870000000003</v>
      </c>
      <c r="DW28" s="238">
        <v>3621.63</v>
      </c>
      <c r="DX28" s="238">
        <v>72995.763464999996</v>
      </c>
      <c r="DY28" s="238">
        <v>12268.316000000001</v>
      </c>
      <c r="DZ28" s="238">
        <v>247274.04313800001</v>
      </c>
      <c r="EB28" s="239">
        <v>44165</v>
      </c>
      <c r="EC28" s="239">
        <v>44196</v>
      </c>
    </row>
    <row r="29" spans="1:133" x14ac:dyDescent="0.35">
      <c r="A29" s="233">
        <v>44196</v>
      </c>
      <c r="B29" s="234">
        <v>2.9502839999999999</v>
      </c>
      <c r="C29" s="234">
        <v>3.3541910000000001</v>
      </c>
      <c r="D29" s="234">
        <v>2.9502830000000002</v>
      </c>
      <c r="E29" s="234">
        <v>3.4204140000000001</v>
      </c>
      <c r="F29" s="234">
        <v>3.0350779999999999</v>
      </c>
      <c r="G29" s="234">
        <v>2.9904980000000001</v>
      </c>
      <c r="H29" s="234">
        <v>2.961049</v>
      </c>
      <c r="I29" s="234">
        <v>3.0012050000000001</v>
      </c>
      <c r="J29" s="234">
        <v>2.5191940000000002</v>
      </c>
      <c r="K29" s="234">
        <v>2.6319759999999999</v>
      </c>
      <c r="L29" s="234">
        <v>4.9101150000000002</v>
      </c>
      <c r="M29" s="234">
        <v>0</v>
      </c>
      <c r="N29" s="234">
        <v>5.6501010000000003</v>
      </c>
      <c r="O29" s="234">
        <v>5.6687120000000002</v>
      </c>
      <c r="P29" s="234">
        <v>4.9101109999999997</v>
      </c>
      <c r="Q29" s="234">
        <v>5.7733939999999997</v>
      </c>
      <c r="R29" s="234">
        <v>5.0876609999999998</v>
      </c>
      <c r="S29" s="234">
        <v>5.0550110000000004</v>
      </c>
      <c r="T29" s="234">
        <v>5.3166190000000002</v>
      </c>
      <c r="U29" s="234">
        <v>5.323626</v>
      </c>
      <c r="V29" s="234">
        <v>5.4625440000000003</v>
      </c>
      <c r="W29" s="234">
        <v>0.64063499999999995</v>
      </c>
      <c r="X29" s="234">
        <v>0.77608200000000005</v>
      </c>
      <c r="Y29" s="234">
        <v>0.80391999999999997</v>
      </c>
      <c r="Z29" s="234">
        <v>0.64063599999999998</v>
      </c>
      <c r="AA29" s="234">
        <v>0.69238999999999995</v>
      </c>
      <c r="AB29" s="234">
        <v>0.80255200000000004</v>
      </c>
      <c r="AC29" s="234">
        <v>0.673265</v>
      </c>
      <c r="AD29" s="234">
        <v>0.66544899999999996</v>
      </c>
      <c r="AE29" s="234">
        <v>0.68123400000000001</v>
      </c>
      <c r="AF29" s="234">
        <v>0.76047699999999996</v>
      </c>
      <c r="AG29" s="234">
        <v>0.69958900000000002</v>
      </c>
      <c r="AH29" s="234">
        <v>1.053658</v>
      </c>
      <c r="AI29" s="234">
        <v>1.152129</v>
      </c>
      <c r="AJ29" s="234">
        <v>1.0533999999999999</v>
      </c>
      <c r="AK29" s="234">
        <v>1.187853</v>
      </c>
      <c r="AL29" s="234">
        <v>1.078838</v>
      </c>
      <c r="AM29" s="234">
        <v>1.0534349999999999</v>
      </c>
      <c r="AN29" s="234">
        <v>1.067933</v>
      </c>
      <c r="AO29" s="234">
        <v>1.0679350000000001</v>
      </c>
      <c r="AP29" s="234">
        <v>1.2842899999999999</v>
      </c>
      <c r="AQ29" s="234">
        <v>1.2701929999999999</v>
      </c>
      <c r="AR29" s="234">
        <v>1.2107950000000001</v>
      </c>
      <c r="AS29" s="234">
        <v>1.284284</v>
      </c>
      <c r="AT29" s="234">
        <v>1.3234699999999999</v>
      </c>
      <c r="AU29" s="234">
        <v>1.2467170000000001</v>
      </c>
      <c r="AV29" s="234">
        <v>1.295336</v>
      </c>
      <c r="AW29" s="234">
        <v>1.2545059999999999</v>
      </c>
      <c r="AX29" s="234">
        <v>1.2298359999999999</v>
      </c>
      <c r="AY29" s="234">
        <v>1.3414600000000001</v>
      </c>
      <c r="AZ29" s="234">
        <v>1.236856</v>
      </c>
      <c r="BA29" s="234">
        <v>1.2559720000000001</v>
      </c>
      <c r="BB29" s="235"/>
      <c r="BC29" s="234">
        <v>1.2277089999999999</v>
      </c>
      <c r="BD29" s="234">
        <v>1.2667390000000001</v>
      </c>
      <c r="BE29" s="234">
        <v>1.277382</v>
      </c>
      <c r="BF29" s="234">
        <v>1.227843</v>
      </c>
      <c r="BG29" s="234">
        <v>1.241927</v>
      </c>
      <c r="BH29" s="234">
        <v>1.2558240000000001</v>
      </c>
      <c r="BI29" s="234">
        <v>1.3030649999999999</v>
      </c>
      <c r="BJ29" s="234">
        <v>1.248807</v>
      </c>
      <c r="BK29" s="234">
        <v>1.243163</v>
      </c>
      <c r="BL29" s="234">
        <v>1.2552639999999999</v>
      </c>
      <c r="BM29" s="234">
        <v>1.267415</v>
      </c>
      <c r="BN29" s="234">
        <v>1.261328</v>
      </c>
      <c r="BO29" s="234">
        <v>3.3901089999999998</v>
      </c>
      <c r="BP29" s="234">
        <v>3.6714899999999999</v>
      </c>
      <c r="BQ29" s="234">
        <v>3.6968890000000001</v>
      </c>
      <c r="BR29" s="234">
        <v>3.3893740000000001</v>
      </c>
      <c r="BS29" s="234">
        <v>3.414927</v>
      </c>
      <c r="BT29" s="234">
        <v>3.439397</v>
      </c>
      <c r="BU29" s="234">
        <v>3.5433520000000001</v>
      </c>
      <c r="BV29" s="234">
        <v>3.4274420000000001</v>
      </c>
      <c r="BW29" s="234">
        <v>3.4257040000000001</v>
      </c>
      <c r="BX29" s="234">
        <v>3.447025</v>
      </c>
      <c r="BY29" s="234">
        <v>3.468197</v>
      </c>
      <c r="BZ29" s="234">
        <v>3.457837</v>
      </c>
      <c r="CA29" s="234">
        <v>0.35942200000000002</v>
      </c>
      <c r="CB29" s="234">
        <v>0.360348</v>
      </c>
      <c r="CC29" s="234">
        <v>0.35813600000000001</v>
      </c>
      <c r="CD29" s="234">
        <v>0.37734600000000001</v>
      </c>
      <c r="CE29" s="234">
        <v>0.37297000000000002</v>
      </c>
      <c r="CF29" s="234">
        <v>0.35890300000000003</v>
      </c>
      <c r="CG29" s="234">
        <v>0.35950799999999999</v>
      </c>
      <c r="CH29" s="234">
        <v>0.358852</v>
      </c>
      <c r="CI29" s="234">
        <v>1.2749699999999999</v>
      </c>
      <c r="CJ29" s="234">
        <v>1.3038989999999999</v>
      </c>
      <c r="CK29" s="234">
        <v>1.315277</v>
      </c>
      <c r="CL29" s="234">
        <v>1.275091</v>
      </c>
      <c r="CM29" s="234">
        <v>1.2896460000000001</v>
      </c>
      <c r="CN29" s="234">
        <v>1.3043579999999999</v>
      </c>
      <c r="CO29" s="234">
        <v>1.3426340000000001</v>
      </c>
      <c r="CP29" s="234">
        <v>1.296859</v>
      </c>
      <c r="CQ29" s="234">
        <v>1.29173</v>
      </c>
      <c r="CR29" s="234">
        <v>1.3035380000000001</v>
      </c>
      <c r="CS29" s="234">
        <v>1.3160339999999999</v>
      </c>
      <c r="CT29" s="234">
        <v>1.3096460000000001</v>
      </c>
      <c r="CU29" s="234">
        <v>2.3811019999999998</v>
      </c>
      <c r="CV29" s="234">
        <v>2.3815469999999999</v>
      </c>
      <c r="CW29" s="234">
        <v>2.5620440000000002</v>
      </c>
      <c r="CX29" s="234">
        <v>2.375963</v>
      </c>
      <c r="CY29" s="234">
        <v>2.4627409999999998</v>
      </c>
      <c r="CZ29" s="234">
        <v>2.494745</v>
      </c>
      <c r="DA29" s="234">
        <v>2.5825279999999999</v>
      </c>
      <c r="DB29" s="234">
        <v>2.3726509999999998</v>
      </c>
      <c r="DC29" s="234">
        <v>0</v>
      </c>
      <c r="DD29" s="234">
        <v>0</v>
      </c>
      <c r="DE29" s="234">
        <v>0</v>
      </c>
      <c r="DF29" s="234">
        <v>0</v>
      </c>
      <c r="DG29" s="234">
        <v>0</v>
      </c>
      <c r="DH29" s="234">
        <v>0</v>
      </c>
      <c r="DI29" s="234">
        <v>0</v>
      </c>
      <c r="DJ29" s="234">
        <v>0</v>
      </c>
      <c r="DK29" s="236"/>
      <c r="DL29" s="234">
        <v>19.897500000000001</v>
      </c>
      <c r="DM29" s="234">
        <v>113.44223208258866</v>
      </c>
      <c r="DN29" s="234">
        <v>145.50303923266642</v>
      </c>
      <c r="DO29" s="234">
        <v>156.22379337642576</v>
      </c>
      <c r="DP29" s="234">
        <v>6.6055970000000004</v>
      </c>
      <c r="DQ29" s="234">
        <v>161.34326849826289</v>
      </c>
      <c r="DR29" s="234">
        <v>173.22040667295781</v>
      </c>
      <c r="DS29" s="234">
        <v>5.6477672626946829</v>
      </c>
      <c r="DT29" s="234">
        <v>6.3646614611382821</v>
      </c>
      <c r="DU29" s="237"/>
      <c r="DV29" s="238">
        <v>44066.879999999997</v>
      </c>
      <c r="DW29" s="238">
        <v>3756.07</v>
      </c>
      <c r="DX29" s="238">
        <v>74736.402825000012</v>
      </c>
      <c r="DY29" s="238">
        <v>12888.284</v>
      </c>
      <c r="DZ29" s="238">
        <v>256444.63089</v>
      </c>
      <c r="EB29" s="239">
        <v>44196</v>
      </c>
      <c r="EC29" s="239">
        <v>44225</v>
      </c>
    </row>
    <row r="30" spans="1:133" x14ac:dyDescent="0.35">
      <c r="A30" s="233">
        <v>44225</v>
      </c>
      <c r="B30" s="234">
        <v>2.9623900000000001</v>
      </c>
      <c r="C30" s="234">
        <v>3.3720020000000002</v>
      </c>
      <c r="D30" s="234">
        <v>2.9623889999999999</v>
      </c>
      <c r="E30" s="234">
        <v>3.440795</v>
      </c>
      <c r="F30" s="234">
        <v>3.0504060000000002</v>
      </c>
      <c r="G30" s="234">
        <v>3.0043259999999998</v>
      </c>
      <c r="H30" s="234">
        <v>2.9732069999999999</v>
      </c>
      <c r="I30" s="234">
        <v>3.0151150000000002</v>
      </c>
      <c r="J30" s="234">
        <v>2.522942</v>
      </c>
      <c r="K30" s="234">
        <v>2.6381890000000001</v>
      </c>
      <c r="L30" s="234">
        <v>4.9163240000000004</v>
      </c>
      <c r="M30" s="234">
        <v>0</v>
      </c>
      <c r="N30" s="234">
        <v>5.662077</v>
      </c>
      <c r="O30" s="234">
        <v>5.6872800000000003</v>
      </c>
      <c r="P30" s="234">
        <v>4.9163199999999998</v>
      </c>
      <c r="Q30" s="234">
        <v>5.7933570000000003</v>
      </c>
      <c r="R30" s="234">
        <v>5.1001209999999997</v>
      </c>
      <c r="S30" s="234">
        <v>5.0657259999999997</v>
      </c>
      <c r="T30" s="234">
        <v>5.3273729999999997</v>
      </c>
      <c r="U30" s="234">
        <v>5.3368599999999997</v>
      </c>
      <c r="V30" s="234">
        <v>5.477881</v>
      </c>
      <c r="W30" s="234">
        <v>0.64122400000000002</v>
      </c>
      <c r="X30" s="234">
        <v>0.77791699999999997</v>
      </c>
      <c r="Y30" s="234">
        <v>0.806006</v>
      </c>
      <c r="Z30" s="234">
        <v>0.64122500000000004</v>
      </c>
      <c r="AA30" s="234">
        <v>0.69338500000000003</v>
      </c>
      <c r="AB30" s="234">
        <v>0.80533900000000003</v>
      </c>
      <c r="AC30" s="234">
        <v>0.67499699999999996</v>
      </c>
      <c r="AD30" s="234">
        <v>0.66701200000000005</v>
      </c>
      <c r="AE30" s="234">
        <v>0.68204799999999999</v>
      </c>
      <c r="AF30" s="234">
        <v>0.76196900000000001</v>
      </c>
      <c r="AG30" s="234">
        <v>0.70114600000000005</v>
      </c>
      <c r="AH30" s="234">
        <v>1.0871109999999999</v>
      </c>
      <c r="AI30" s="234">
        <v>1.1888890000000001</v>
      </c>
      <c r="AJ30" s="234">
        <v>1.0868450000000001</v>
      </c>
      <c r="AK30" s="234">
        <v>1.2269399999999999</v>
      </c>
      <c r="AL30" s="234">
        <v>1.1139669999999999</v>
      </c>
      <c r="AM30" s="234">
        <v>1.0868819999999999</v>
      </c>
      <c r="AN30" s="234">
        <v>1.1018410000000001</v>
      </c>
      <c r="AO30" s="234">
        <v>1.101844</v>
      </c>
      <c r="AP30" s="234">
        <v>1.286743</v>
      </c>
      <c r="AQ30" s="234">
        <v>1.2737750000000001</v>
      </c>
      <c r="AR30" s="234">
        <v>1.2124980000000001</v>
      </c>
      <c r="AS30" s="234">
        <v>1.286737</v>
      </c>
      <c r="AT30" s="234">
        <v>1.3263290000000001</v>
      </c>
      <c r="AU30" s="234">
        <v>1.248785</v>
      </c>
      <c r="AV30" s="234">
        <v>1.299825</v>
      </c>
      <c r="AW30" s="234">
        <v>1.2577510000000001</v>
      </c>
      <c r="AX30" s="234">
        <v>1.232399</v>
      </c>
      <c r="AY30" s="234">
        <v>1.3451900000000001</v>
      </c>
      <c r="AZ30" s="234">
        <v>1.239471</v>
      </c>
      <c r="BA30" s="234">
        <v>1.259452</v>
      </c>
      <c r="BB30" s="235"/>
      <c r="BC30" s="234">
        <v>1.2382960000000001</v>
      </c>
      <c r="BD30" s="234">
        <v>1.2786040000000001</v>
      </c>
      <c r="BE30" s="234">
        <v>1.289642</v>
      </c>
      <c r="BF30" s="234">
        <v>1.2384310000000001</v>
      </c>
      <c r="BG30" s="234">
        <v>1.2529440000000001</v>
      </c>
      <c r="BH30" s="234">
        <v>1.267263</v>
      </c>
      <c r="BI30" s="234">
        <v>1.316559</v>
      </c>
      <c r="BJ30" s="234">
        <v>1.260027</v>
      </c>
      <c r="BK30" s="234">
        <v>1.254329</v>
      </c>
      <c r="BL30" s="234">
        <v>1.266807</v>
      </c>
      <c r="BM30" s="234">
        <v>1.279331</v>
      </c>
      <c r="BN30" s="234">
        <v>1.273047</v>
      </c>
      <c r="BO30" s="234">
        <v>3.4508969999999999</v>
      </c>
      <c r="BP30" s="234">
        <v>3.7389990000000002</v>
      </c>
      <c r="BQ30" s="234">
        <v>3.7657259999999999</v>
      </c>
      <c r="BR30" s="234">
        <v>3.450148</v>
      </c>
      <c r="BS30" s="234">
        <v>3.476998</v>
      </c>
      <c r="BT30" s="234">
        <v>3.5027249999999999</v>
      </c>
      <c r="BU30" s="234">
        <v>3.6123769999999999</v>
      </c>
      <c r="BV30" s="234">
        <v>3.4901610000000001</v>
      </c>
      <c r="BW30" s="234">
        <v>3.488391</v>
      </c>
      <c r="BX30" s="234">
        <v>3.5107910000000002</v>
      </c>
      <c r="BY30" s="234">
        <v>3.5330710000000001</v>
      </c>
      <c r="BZ30" s="234">
        <v>3.5221629999999999</v>
      </c>
      <c r="CA30" s="234">
        <v>0.36584</v>
      </c>
      <c r="CB30" s="234">
        <v>0.366815</v>
      </c>
      <c r="CC30" s="234">
        <v>0.36453099999999999</v>
      </c>
      <c r="CD30" s="234">
        <v>0.38474399999999997</v>
      </c>
      <c r="CE30" s="234">
        <v>0.38017400000000001</v>
      </c>
      <c r="CF30" s="234">
        <v>0.36535000000000001</v>
      </c>
      <c r="CG30" s="234">
        <v>0.36592799999999998</v>
      </c>
      <c r="CH30" s="234">
        <v>0.36529499999999998</v>
      </c>
      <c r="CI30" s="234">
        <v>1.2900769999999999</v>
      </c>
      <c r="CJ30" s="234">
        <v>1.3201229999999999</v>
      </c>
      <c r="CK30" s="234">
        <v>1.3319620000000001</v>
      </c>
      <c r="CL30" s="234">
        <v>1.2901990000000001</v>
      </c>
      <c r="CM30" s="234">
        <v>1.3052440000000001</v>
      </c>
      <c r="CN30" s="234">
        <v>1.3204549999999999</v>
      </c>
      <c r="CO30" s="234">
        <v>1.3605830000000001</v>
      </c>
      <c r="CP30" s="234">
        <v>1.3127040000000001</v>
      </c>
      <c r="CQ30" s="234">
        <v>1.3075159999999999</v>
      </c>
      <c r="CR30" s="234">
        <v>1.319734</v>
      </c>
      <c r="CS30" s="234">
        <v>1.3326560000000001</v>
      </c>
      <c r="CT30" s="234">
        <v>1.3260479999999999</v>
      </c>
      <c r="CU30" s="234">
        <v>2.3009460000000002</v>
      </c>
      <c r="CV30" s="234">
        <v>2.3015210000000002</v>
      </c>
      <c r="CW30" s="234">
        <v>2.4820829999999998</v>
      </c>
      <c r="CX30" s="234">
        <v>2.2961179999999999</v>
      </c>
      <c r="CY30" s="234">
        <v>2.3825859999999999</v>
      </c>
      <c r="CZ30" s="234">
        <v>2.4148000000000001</v>
      </c>
      <c r="DA30" s="234">
        <v>2.5025520000000001</v>
      </c>
      <c r="DB30" s="234">
        <v>2.2927759999999999</v>
      </c>
      <c r="DC30" s="234">
        <v>0</v>
      </c>
      <c r="DD30" s="234">
        <v>0</v>
      </c>
      <c r="DE30" s="234">
        <v>0</v>
      </c>
      <c r="DF30" s="234">
        <v>0</v>
      </c>
      <c r="DG30" s="234">
        <v>0</v>
      </c>
      <c r="DH30" s="234">
        <v>0</v>
      </c>
      <c r="DI30" s="234">
        <v>0</v>
      </c>
      <c r="DJ30" s="234">
        <v>0</v>
      </c>
      <c r="DK30" s="236"/>
      <c r="DL30" s="234">
        <v>20.550999999999998</v>
      </c>
      <c r="DM30" s="234">
        <v>113.54184066470341</v>
      </c>
      <c r="DN30" s="234">
        <v>145.81364780391729</v>
      </c>
      <c r="DO30" s="234">
        <v>156.67935931611069</v>
      </c>
      <c r="DP30" s="234">
        <v>6.6405089999999998</v>
      </c>
      <c r="DQ30" s="234">
        <v>161.79816688027884</v>
      </c>
      <c r="DR30" s="234">
        <v>173.84414448731934</v>
      </c>
      <c r="DS30" s="234">
        <v>5.662553431153265</v>
      </c>
      <c r="DT30" s="234">
        <v>6.3862977741831184</v>
      </c>
      <c r="DU30" s="237"/>
      <c r="DV30" s="238">
        <v>42985.73</v>
      </c>
      <c r="DW30" s="238">
        <v>3714.24</v>
      </c>
      <c r="DX30" s="238">
        <v>76331.346239999984</v>
      </c>
      <c r="DY30" s="238">
        <v>13248.9</v>
      </c>
      <c r="DZ30" s="238">
        <v>272278.14389999997</v>
      </c>
      <c r="EB30" s="239">
        <v>44225</v>
      </c>
      <c r="EC30" s="239">
        <v>44253</v>
      </c>
    </row>
    <row r="31" spans="1:133" x14ac:dyDescent="0.35">
      <c r="A31" s="233">
        <v>44253</v>
      </c>
      <c r="B31" s="234">
        <v>2.9402509999999999</v>
      </c>
      <c r="C31" s="234">
        <v>3.350546</v>
      </c>
      <c r="D31" s="234">
        <v>2.9402490000000001</v>
      </c>
      <c r="E31" s="234">
        <v>3.4209559999999999</v>
      </c>
      <c r="F31" s="234">
        <v>3.0302690000000001</v>
      </c>
      <c r="G31" s="234">
        <v>2.9833500000000002</v>
      </c>
      <c r="H31" s="234">
        <v>2.9509940000000001</v>
      </c>
      <c r="I31" s="234">
        <v>2.9941010000000001</v>
      </c>
      <c r="J31" s="234">
        <v>2.5272350000000001</v>
      </c>
      <c r="K31" s="234">
        <v>2.644825</v>
      </c>
      <c r="L31" s="234">
        <v>4.9216569999999997</v>
      </c>
      <c r="M31" s="234">
        <v>0</v>
      </c>
      <c r="N31" s="234">
        <v>5.6727429999999996</v>
      </c>
      <c r="O31" s="234">
        <v>5.7041079999999997</v>
      </c>
      <c r="P31" s="234">
        <v>4.9216530000000001</v>
      </c>
      <c r="Q31" s="234">
        <v>5.8114850000000002</v>
      </c>
      <c r="R31" s="234">
        <v>5.1112830000000002</v>
      </c>
      <c r="S31" s="234">
        <v>5.0752680000000003</v>
      </c>
      <c r="T31" s="234">
        <v>5.3369150000000003</v>
      </c>
      <c r="U31" s="234">
        <v>5.3487210000000003</v>
      </c>
      <c r="V31" s="234">
        <v>5.491714</v>
      </c>
      <c r="W31" s="234">
        <v>0.64170000000000005</v>
      </c>
      <c r="X31" s="234">
        <v>0.77954500000000004</v>
      </c>
      <c r="Y31" s="234">
        <v>0.80786599999999997</v>
      </c>
      <c r="Z31" s="234">
        <v>0.64170000000000005</v>
      </c>
      <c r="AA31" s="234">
        <v>0.69423400000000002</v>
      </c>
      <c r="AB31" s="234">
        <v>0.80785600000000002</v>
      </c>
      <c r="AC31" s="234">
        <v>0.67653700000000005</v>
      </c>
      <c r="AD31" s="234">
        <v>0.66840100000000002</v>
      </c>
      <c r="AE31" s="234">
        <v>0.68272999999999995</v>
      </c>
      <c r="AF31" s="234">
        <v>0.76327400000000001</v>
      </c>
      <c r="AG31" s="234">
        <v>0.70252800000000004</v>
      </c>
      <c r="AH31" s="234">
        <v>1.106392</v>
      </c>
      <c r="AI31" s="234">
        <v>1.2101409999999999</v>
      </c>
      <c r="AJ31" s="234">
        <v>1.1061209999999999</v>
      </c>
      <c r="AK31" s="234">
        <v>1.2499960000000001</v>
      </c>
      <c r="AL31" s="234">
        <v>1.134555</v>
      </c>
      <c r="AM31" s="234">
        <v>1.10616</v>
      </c>
      <c r="AN31" s="234">
        <v>1.1213850000000001</v>
      </c>
      <c r="AO31" s="234">
        <v>1.121391</v>
      </c>
      <c r="AP31" s="234">
        <v>1.288897</v>
      </c>
      <c r="AQ31" s="234">
        <v>1.2769870000000001</v>
      </c>
      <c r="AR31" s="234">
        <v>1.2139599999999999</v>
      </c>
      <c r="AS31" s="234">
        <v>1.288891</v>
      </c>
      <c r="AT31" s="234">
        <v>1.3288599999999999</v>
      </c>
      <c r="AU31" s="234">
        <v>1.250583</v>
      </c>
      <c r="AV31" s="234">
        <v>1.3038810000000001</v>
      </c>
      <c r="AW31" s="234">
        <v>1.2606489999999999</v>
      </c>
      <c r="AX31" s="234">
        <v>1.234693</v>
      </c>
      <c r="AY31" s="234">
        <v>1.348563</v>
      </c>
      <c r="AZ31" s="234">
        <v>1.2417830000000001</v>
      </c>
      <c r="BA31" s="234">
        <v>1.262605</v>
      </c>
      <c r="BB31" s="235"/>
      <c r="BC31" s="234">
        <v>1.2550650000000001</v>
      </c>
      <c r="BD31" s="234">
        <v>1.2967979999999999</v>
      </c>
      <c r="BE31" s="234">
        <v>1.308268</v>
      </c>
      <c r="BF31" s="234">
        <v>1.2552030000000001</v>
      </c>
      <c r="BG31" s="234">
        <v>1.2702020000000001</v>
      </c>
      <c r="BH31" s="234">
        <v>1.2850010000000001</v>
      </c>
      <c r="BI31" s="234">
        <v>1.336522</v>
      </c>
      <c r="BJ31" s="234">
        <v>1.2775179999999999</v>
      </c>
      <c r="BK31" s="234">
        <v>1.271739</v>
      </c>
      <c r="BL31" s="234">
        <v>1.28464</v>
      </c>
      <c r="BM31" s="234">
        <v>1.2975890000000001</v>
      </c>
      <c r="BN31" s="234">
        <v>1.2910919999999999</v>
      </c>
      <c r="BO31" s="234">
        <v>3.5551810000000001</v>
      </c>
      <c r="BP31" s="234">
        <v>3.8536169999999998</v>
      </c>
      <c r="BQ31" s="234">
        <v>3.8819910000000002</v>
      </c>
      <c r="BR31" s="234">
        <v>3.5544090000000002</v>
      </c>
      <c r="BS31" s="234">
        <v>3.582875</v>
      </c>
      <c r="BT31" s="234">
        <v>3.6101649999999998</v>
      </c>
      <c r="BU31" s="234">
        <v>3.7268150000000002</v>
      </c>
      <c r="BV31" s="234">
        <v>3.5968429999999998</v>
      </c>
      <c r="BW31" s="234">
        <v>3.595018</v>
      </c>
      <c r="BX31" s="234">
        <v>3.6187689999999999</v>
      </c>
      <c r="BY31" s="234">
        <v>3.642417</v>
      </c>
      <c r="BZ31" s="234">
        <v>3.630814</v>
      </c>
      <c r="CA31" s="234">
        <v>0.37984600000000002</v>
      </c>
      <c r="CB31" s="234">
        <v>0.38089499999999998</v>
      </c>
      <c r="CC31" s="234">
        <v>0.37848599999999999</v>
      </c>
      <c r="CD31" s="234">
        <v>0.40011400000000003</v>
      </c>
      <c r="CE31" s="234">
        <v>0.395256</v>
      </c>
      <c r="CF31" s="234">
        <v>0.37937500000000002</v>
      </c>
      <c r="CG31" s="234">
        <v>0.37993700000000002</v>
      </c>
      <c r="CH31" s="234">
        <v>0.37931700000000002</v>
      </c>
      <c r="CI31" s="234">
        <v>1.3175250000000001</v>
      </c>
      <c r="CJ31" s="234">
        <v>1.348949</v>
      </c>
      <c r="CK31" s="234">
        <v>1.361348</v>
      </c>
      <c r="CL31" s="234">
        <v>1.31765</v>
      </c>
      <c r="CM31" s="234">
        <v>1.3333170000000001</v>
      </c>
      <c r="CN31" s="234">
        <v>1.349162</v>
      </c>
      <c r="CO31" s="234">
        <v>1.3914759999999999</v>
      </c>
      <c r="CP31" s="234">
        <v>1.3410899999999999</v>
      </c>
      <c r="CQ31" s="234">
        <v>1.335779</v>
      </c>
      <c r="CR31" s="234">
        <v>1.3485290000000001</v>
      </c>
      <c r="CS31" s="234">
        <v>1.361993</v>
      </c>
      <c r="CT31" s="234">
        <v>1.3551089999999999</v>
      </c>
      <c r="CU31" s="234">
        <v>2.3789389999999999</v>
      </c>
      <c r="CV31" s="234">
        <v>2.3797519999999999</v>
      </c>
      <c r="CW31" s="234">
        <v>2.5720960000000002</v>
      </c>
      <c r="CX31" s="234">
        <v>2.3739699999999999</v>
      </c>
      <c r="CY31" s="234">
        <v>2.4659970000000002</v>
      </c>
      <c r="CZ31" s="234">
        <v>2.5004149999999998</v>
      </c>
      <c r="DA31" s="234">
        <v>2.594176</v>
      </c>
      <c r="DB31" s="234">
        <v>2.370304</v>
      </c>
      <c r="DC31" s="234">
        <v>0</v>
      </c>
      <c r="DD31" s="234">
        <v>0</v>
      </c>
      <c r="DE31" s="234">
        <v>0</v>
      </c>
      <c r="DF31" s="234">
        <v>0</v>
      </c>
      <c r="DG31" s="234">
        <v>0</v>
      </c>
      <c r="DH31" s="234">
        <v>0</v>
      </c>
      <c r="DI31" s="234">
        <v>0</v>
      </c>
      <c r="DJ31" s="234">
        <v>0</v>
      </c>
      <c r="DK31" s="236"/>
      <c r="DL31" s="234">
        <v>20.934000000000001</v>
      </c>
      <c r="DM31" s="234">
        <v>113.63544960445144</v>
      </c>
      <c r="DN31" s="234">
        <v>146.10624719051049</v>
      </c>
      <c r="DO31" s="234">
        <v>157.11196843600018</v>
      </c>
      <c r="DP31" s="234">
        <v>6.7004859999999997</v>
      </c>
      <c r="DQ31" s="234">
        <v>162.22477471361984</v>
      </c>
      <c r="DR31" s="234">
        <v>174.43366929729189</v>
      </c>
      <c r="DS31" s="234">
        <v>5.6764046660184695</v>
      </c>
      <c r="DT31" s="234">
        <v>6.4067374750037125</v>
      </c>
      <c r="DU31" s="237"/>
      <c r="DV31" s="238">
        <v>44592.91</v>
      </c>
      <c r="DW31" s="238">
        <v>3811.15</v>
      </c>
      <c r="DX31" s="238">
        <v>79782.614100000006</v>
      </c>
      <c r="DY31" s="238">
        <v>12909.442999999999</v>
      </c>
      <c r="DZ31" s="238">
        <v>270246.27976200002</v>
      </c>
      <c r="EB31" s="239">
        <v>44253</v>
      </c>
      <c r="EC31" s="239">
        <v>44286</v>
      </c>
    </row>
    <row r="32" spans="1:133" x14ac:dyDescent="0.35">
      <c r="A32" s="233">
        <v>44286</v>
      </c>
      <c r="B32" s="234">
        <v>2.911578</v>
      </c>
      <c r="C32" s="234">
        <v>3.3227440000000001</v>
      </c>
      <c r="D32" s="234">
        <v>2.9115769999999999</v>
      </c>
      <c r="E32" s="234">
        <v>3.395213</v>
      </c>
      <c r="F32" s="234">
        <v>3.0041410000000002</v>
      </c>
      <c r="G32" s="234">
        <v>2.9562110000000001</v>
      </c>
      <c r="H32" s="234">
        <v>2.9222260000000002</v>
      </c>
      <c r="I32" s="234">
        <v>2.9668830000000002</v>
      </c>
      <c r="J32" s="234">
        <v>2.531911</v>
      </c>
      <c r="K32" s="234">
        <v>2.6525120000000002</v>
      </c>
      <c r="L32" s="234">
        <v>4.9276850000000003</v>
      </c>
      <c r="M32" s="234">
        <v>0</v>
      </c>
      <c r="N32" s="234">
        <v>5.6856010000000001</v>
      </c>
      <c r="O32" s="234">
        <v>5.7249930000000004</v>
      </c>
      <c r="P32" s="234">
        <v>4.9276809999999998</v>
      </c>
      <c r="Q32" s="234">
        <v>5.8340480000000001</v>
      </c>
      <c r="R32" s="234">
        <v>5.1248649999999998</v>
      </c>
      <c r="S32" s="234">
        <v>5.0867719999999998</v>
      </c>
      <c r="T32" s="234">
        <v>5.3483470000000004</v>
      </c>
      <c r="U32" s="234">
        <v>5.3631729999999997</v>
      </c>
      <c r="V32" s="234">
        <v>5.5087320000000002</v>
      </c>
      <c r="W32" s="234">
        <v>0.64222199999999996</v>
      </c>
      <c r="X32" s="234">
        <v>0.78155600000000003</v>
      </c>
      <c r="Y32" s="234">
        <v>0.81017499999999998</v>
      </c>
      <c r="Z32" s="234">
        <v>0.64222299999999999</v>
      </c>
      <c r="AA32" s="234">
        <v>0.69523500000000005</v>
      </c>
      <c r="AB32" s="234">
        <v>0.81102200000000002</v>
      </c>
      <c r="AC32" s="234">
        <v>0.67844000000000004</v>
      </c>
      <c r="AD32" s="234">
        <v>0.67011799999999999</v>
      </c>
      <c r="AE32" s="234">
        <v>0.68351399999999995</v>
      </c>
      <c r="AF32" s="234">
        <v>0.76485899999999996</v>
      </c>
      <c r="AG32" s="234">
        <v>0.70423100000000005</v>
      </c>
      <c r="AH32" s="234">
        <v>1.0788489999999999</v>
      </c>
      <c r="AI32" s="234">
        <v>1.1802010000000001</v>
      </c>
      <c r="AJ32" s="234">
        <v>1.0785849999999999</v>
      </c>
      <c r="AK32" s="234">
        <v>1.2204930000000001</v>
      </c>
      <c r="AL32" s="234">
        <v>1.107362</v>
      </c>
      <c r="AM32" s="234">
        <v>1.0786249999999999</v>
      </c>
      <c r="AN32" s="234">
        <v>1.093472</v>
      </c>
      <c r="AO32" s="234">
        <v>1.0934839999999999</v>
      </c>
      <c r="AP32" s="234">
        <v>1.2915160000000001</v>
      </c>
      <c r="AQ32" s="234">
        <v>1.2809900000000001</v>
      </c>
      <c r="AR32" s="234">
        <v>1.2156880000000001</v>
      </c>
      <c r="AS32" s="234">
        <v>1.2915099999999999</v>
      </c>
      <c r="AT32" s="234">
        <v>1.3319639999999999</v>
      </c>
      <c r="AU32" s="234">
        <v>1.2527440000000001</v>
      </c>
      <c r="AV32" s="234">
        <v>1.3089869999999999</v>
      </c>
      <c r="AW32" s="234">
        <v>1.2642420000000001</v>
      </c>
      <c r="AX32" s="234">
        <v>1.2375050000000001</v>
      </c>
      <c r="AY32" s="234">
        <v>1.352765</v>
      </c>
      <c r="AZ32" s="234">
        <v>1.244613</v>
      </c>
      <c r="BA32" s="234">
        <v>1.266534</v>
      </c>
      <c r="BB32" s="235"/>
      <c r="BC32" s="234">
        <v>1.257763</v>
      </c>
      <c r="BD32" s="234">
        <v>1.3007409999999999</v>
      </c>
      <c r="BE32" s="234">
        <v>1.3126119999999999</v>
      </c>
      <c r="BF32" s="234">
        <v>1.2579009999999999</v>
      </c>
      <c r="BG32" s="234">
        <v>1.2733099999999999</v>
      </c>
      <c r="BH32" s="234">
        <v>1.2885120000000001</v>
      </c>
      <c r="BI32" s="234">
        <v>1.3421749999999999</v>
      </c>
      <c r="BJ32" s="234">
        <v>1.2808200000000001</v>
      </c>
      <c r="BK32" s="234">
        <v>1.2750220000000001</v>
      </c>
      <c r="BL32" s="234">
        <v>1.2882739999999999</v>
      </c>
      <c r="BM32" s="234">
        <v>1.3015909999999999</v>
      </c>
      <c r="BN32" s="234">
        <v>1.294907</v>
      </c>
      <c r="BO32" s="234">
        <v>3.5768849999999999</v>
      </c>
      <c r="BP32" s="234">
        <v>3.8794919999999999</v>
      </c>
      <c r="BQ32" s="234">
        <v>3.909135</v>
      </c>
      <c r="BR32" s="234">
        <v>3.5761080000000001</v>
      </c>
      <c r="BS32" s="234">
        <v>3.6057999999999999</v>
      </c>
      <c r="BT32" s="234">
        <v>3.6342840000000001</v>
      </c>
      <c r="BU32" s="234">
        <v>3.7564700000000002</v>
      </c>
      <c r="BV32" s="234">
        <v>3.6203859999999999</v>
      </c>
      <c r="BW32" s="234">
        <v>3.6185489999999998</v>
      </c>
      <c r="BX32" s="234">
        <v>3.6433149999999999</v>
      </c>
      <c r="BY32" s="234">
        <v>3.6680269999999999</v>
      </c>
      <c r="BZ32" s="234">
        <v>3.6558760000000001</v>
      </c>
      <c r="CA32" s="234">
        <v>0.38575199999999998</v>
      </c>
      <c r="CB32" s="234">
        <v>0.38686599999999999</v>
      </c>
      <c r="CC32" s="234">
        <v>0.38427099999999997</v>
      </c>
      <c r="CD32" s="234">
        <v>0.40717700000000001</v>
      </c>
      <c r="CE32" s="234">
        <v>0.40199099999999999</v>
      </c>
      <c r="CF32" s="234">
        <v>0.38522099999999998</v>
      </c>
      <c r="CG32" s="234">
        <v>0.38584400000000002</v>
      </c>
      <c r="CH32" s="234">
        <v>0.38516600000000001</v>
      </c>
      <c r="CI32" s="234">
        <v>1.3255859999999999</v>
      </c>
      <c r="CJ32" s="234">
        <v>1.358209</v>
      </c>
      <c r="CK32" s="234">
        <v>1.3710880000000001</v>
      </c>
      <c r="CL32" s="234">
        <v>1.325712</v>
      </c>
      <c r="CM32" s="234">
        <v>1.3418699999999999</v>
      </c>
      <c r="CN32" s="234">
        <v>1.3582160000000001</v>
      </c>
      <c r="CO32" s="234">
        <v>1.4025339999999999</v>
      </c>
      <c r="CP32" s="234">
        <v>1.3498920000000001</v>
      </c>
      <c r="CQ32" s="234">
        <v>1.344541</v>
      </c>
      <c r="CR32" s="234">
        <v>1.357715</v>
      </c>
      <c r="CS32" s="234">
        <v>1.371607</v>
      </c>
      <c r="CT32" s="234">
        <v>1.3645050000000001</v>
      </c>
      <c r="CU32" s="234">
        <v>2.4857179999999999</v>
      </c>
      <c r="CV32" s="234">
        <v>2.486815</v>
      </c>
      <c r="CW32" s="234">
        <v>2.6956509999999998</v>
      </c>
      <c r="CX32" s="234">
        <v>2.4806490000000001</v>
      </c>
      <c r="CY32" s="234">
        <v>2.5802779999999998</v>
      </c>
      <c r="CZ32" s="234">
        <v>2.6178669999999999</v>
      </c>
      <c r="DA32" s="234">
        <v>2.7198259999999999</v>
      </c>
      <c r="DB32" s="234">
        <v>2.4765649999999999</v>
      </c>
      <c r="DC32" s="234">
        <v>0</v>
      </c>
      <c r="DD32" s="234">
        <v>0</v>
      </c>
      <c r="DE32" s="234">
        <v>0</v>
      </c>
      <c r="DF32" s="234">
        <v>0</v>
      </c>
      <c r="DG32" s="234">
        <v>0</v>
      </c>
      <c r="DH32" s="234">
        <v>0</v>
      </c>
      <c r="DI32" s="234">
        <v>0</v>
      </c>
      <c r="DJ32" s="234">
        <v>0</v>
      </c>
      <c r="DK32" s="236"/>
      <c r="DL32" s="234">
        <v>20.439499999999999</v>
      </c>
      <c r="DM32" s="234">
        <v>113.74378206640769</v>
      </c>
      <c r="DN32" s="234">
        <v>146.43705608519102</v>
      </c>
      <c r="DO32" s="234">
        <v>157.60739484313504</v>
      </c>
      <c r="DP32" s="234">
        <v>6.748761</v>
      </c>
      <c r="DQ32" s="234">
        <v>162.71699171756342</v>
      </c>
      <c r="DR32" s="234">
        <v>175.11803072650159</v>
      </c>
      <c r="DS32" s="234">
        <v>5.6924518620093032</v>
      </c>
      <c r="DT32" s="234">
        <v>6.4305459792504056</v>
      </c>
      <c r="DU32" s="237"/>
      <c r="DV32" s="238">
        <v>47246.26</v>
      </c>
      <c r="DW32" s="238">
        <v>3972.89</v>
      </c>
      <c r="DX32" s="238">
        <v>81203.885154999996</v>
      </c>
      <c r="DY32" s="238">
        <v>13329.514999999999</v>
      </c>
      <c r="DZ32" s="238">
        <v>272448.6218425</v>
      </c>
      <c r="EB32" s="239">
        <v>44286</v>
      </c>
      <c r="EC32" s="239">
        <v>44316</v>
      </c>
    </row>
    <row r="33" spans="1:133" x14ac:dyDescent="0.35">
      <c r="A33" s="233">
        <v>44316</v>
      </c>
      <c r="B33" s="234">
        <v>2.9212009999999999</v>
      </c>
      <c r="C33" s="234">
        <v>3.3376359999999998</v>
      </c>
      <c r="D33" s="234">
        <v>2.9211990000000001</v>
      </c>
      <c r="E33" s="234">
        <v>3.4125549999999998</v>
      </c>
      <c r="F33" s="234">
        <v>3.0168219999999999</v>
      </c>
      <c r="G33" s="234">
        <v>2.9675289999999999</v>
      </c>
      <c r="H33" s="234">
        <v>2.9318919999999999</v>
      </c>
      <c r="I33" s="234">
        <v>2.978259</v>
      </c>
      <c r="J33" s="234">
        <v>2.536435</v>
      </c>
      <c r="K33" s="234">
        <v>2.659494</v>
      </c>
      <c r="L33" s="234">
        <v>4.9326420000000004</v>
      </c>
      <c r="M33" s="234">
        <v>0</v>
      </c>
      <c r="N33" s="234">
        <v>5.6960600000000001</v>
      </c>
      <c r="O33" s="234">
        <v>5.7419079999999996</v>
      </c>
      <c r="P33" s="234">
        <v>4.932639</v>
      </c>
      <c r="Q33" s="234">
        <v>5.852309</v>
      </c>
      <c r="R33" s="234">
        <v>5.1358980000000001</v>
      </c>
      <c r="S33" s="234">
        <v>5.0961299999999996</v>
      </c>
      <c r="T33" s="234">
        <v>5.3576550000000003</v>
      </c>
      <c r="U33" s="234">
        <v>5.374911</v>
      </c>
      <c r="V33" s="234">
        <v>5.5225429999999998</v>
      </c>
      <c r="W33" s="234">
        <v>0.64264399999999999</v>
      </c>
      <c r="X33" s="234">
        <v>0.78317300000000001</v>
      </c>
      <c r="Y33" s="234">
        <v>0.812033</v>
      </c>
      <c r="Z33" s="234">
        <v>0.64264500000000002</v>
      </c>
      <c r="AA33" s="234">
        <v>0.69604100000000002</v>
      </c>
      <c r="AB33" s="234">
        <v>0.81356899999999999</v>
      </c>
      <c r="AC33" s="234">
        <v>0.67997099999999999</v>
      </c>
      <c r="AD33" s="234">
        <v>0.67149800000000004</v>
      </c>
      <c r="AE33" s="234">
        <v>0.68414600000000003</v>
      </c>
      <c r="AF33" s="234">
        <v>0.76613500000000001</v>
      </c>
      <c r="AG33" s="234">
        <v>0.70560100000000003</v>
      </c>
      <c r="AH33" s="234">
        <v>1.0689420000000001</v>
      </c>
      <c r="AI33" s="234">
        <v>1.1695169999999999</v>
      </c>
      <c r="AJ33" s="234">
        <v>1.068681</v>
      </c>
      <c r="AK33" s="234">
        <v>1.2105710000000001</v>
      </c>
      <c r="AL33" s="234">
        <v>1.0980270000000001</v>
      </c>
      <c r="AM33" s="234">
        <v>1.0687219999999999</v>
      </c>
      <c r="AN33" s="234">
        <v>1.0834330000000001</v>
      </c>
      <c r="AO33" s="234">
        <v>1.08345</v>
      </c>
      <c r="AP33" s="234">
        <v>1.2936270000000001</v>
      </c>
      <c r="AQ33" s="234">
        <v>1.2842169999999999</v>
      </c>
      <c r="AR33" s="234">
        <v>1.2170829999999999</v>
      </c>
      <c r="AS33" s="234">
        <v>1.293622</v>
      </c>
      <c r="AT33" s="234">
        <v>1.334465</v>
      </c>
      <c r="AU33" s="234">
        <v>1.2544869999999999</v>
      </c>
      <c r="AV33" s="234">
        <v>1.313096</v>
      </c>
      <c r="AW33" s="234">
        <v>1.267137</v>
      </c>
      <c r="AX33" s="234">
        <v>1.23976</v>
      </c>
      <c r="AY33" s="234">
        <v>1.3561380000000001</v>
      </c>
      <c r="AZ33" s="234">
        <v>1.2468950000000001</v>
      </c>
      <c r="BA33" s="234">
        <v>1.2696890000000001</v>
      </c>
      <c r="BB33" s="235"/>
      <c r="BC33" s="234">
        <v>1.274197</v>
      </c>
      <c r="BD33" s="234">
        <v>1.318681</v>
      </c>
      <c r="BE33" s="234">
        <v>1.3310090000000001</v>
      </c>
      <c r="BF33" s="234">
        <v>1.2743359999999999</v>
      </c>
      <c r="BG33" s="234">
        <v>1.2902530000000001</v>
      </c>
      <c r="BH33" s="234">
        <v>1.305955</v>
      </c>
      <c r="BI33" s="234">
        <v>1.361969</v>
      </c>
      <c r="BJ33" s="234">
        <v>1.2980039999999999</v>
      </c>
      <c r="BK33" s="234">
        <v>1.2921279999999999</v>
      </c>
      <c r="BL33" s="234">
        <v>1.305817</v>
      </c>
      <c r="BM33" s="234">
        <v>1.3195809999999999</v>
      </c>
      <c r="BN33" s="234">
        <v>1.3126690000000001</v>
      </c>
      <c r="BO33" s="234">
        <v>3.653953</v>
      </c>
      <c r="BP33" s="234">
        <v>3.9650439999999998</v>
      </c>
      <c r="BQ33" s="234">
        <v>3.9962420000000001</v>
      </c>
      <c r="BR33" s="234">
        <v>3.6531600000000002</v>
      </c>
      <c r="BS33" s="234">
        <v>3.6843520000000001</v>
      </c>
      <c r="BT33" s="234">
        <v>3.7142909999999998</v>
      </c>
      <c r="BU33" s="234">
        <v>3.8430620000000002</v>
      </c>
      <c r="BV33" s="234">
        <v>3.6996880000000001</v>
      </c>
      <c r="BW33" s="234">
        <v>3.69781</v>
      </c>
      <c r="BX33" s="234">
        <v>3.723821</v>
      </c>
      <c r="BY33" s="234">
        <v>3.7498200000000002</v>
      </c>
      <c r="BZ33" s="234">
        <v>3.737015</v>
      </c>
      <c r="CA33" s="234">
        <v>0.39989000000000002</v>
      </c>
      <c r="CB33" s="234">
        <v>0.40109299999999998</v>
      </c>
      <c r="CC33" s="234">
        <v>0.39835399999999999</v>
      </c>
      <c r="CD33" s="234">
        <v>0.42279699999999998</v>
      </c>
      <c r="CE33" s="234">
        <v>0.41730099999999998</v>
      </c>
      <c r="CF33" s="234">
        <v>0.39937699999999998</v>
      </c>
      <c r="CG33" s="234">
        <v>0.39998499999999998</v>
      </c>
      <c r="CH33" s="234">
        <v>0.39932499999999999</v>
      </c>
      <c r="CI33" s="234">
        <v>1.3513090000000001</v>
      </c>
      <c r="CJ33" s="234">
        <v>1.3853489999999999</v>
      </c>
      <c r="CK33" s="234">
        <v>1.3988069999999999</v>
      </c>
      <c r="CL33" s="234">
        <v>1.351437</v>
      </c>
      <c r="CM33" s="234">
        <v>1.368231</v>
      </c>
      <c r="CN33" s="234">
        <v>1.3852249999999999</v>
      </c>
      <c r="CO33" s="234">
        <v>1.431826</v>
      </c>
      <c r="CP33" s="234">
        <v>1.3765719999999999</v>
      </c>
      <c r="CQ33" s="234">
        <v>1.371108</v>
      </c>
      <c r="CR33" s="234">
        <v>1.3848240000000001</v>
      </c>
      <c r="CS33" s="234">
        <v>1.399267</v>
      </c>
      <c r="CT33" s="234">
        <v>1.391885</v>
      </c>
      <c r="CU33" s="234">
        <v>2.5554929999999998</v>
      </c>
      <c r="CV33" s="234">
        <v>2.5568019999999998</v>
      </c>
      <c r="CW33" s="234">
        <v>2.7779799999999999</v>
      </c>
      <c r="CX33" s="234">
        <v>2.550325</v>
      </c>
      <c r="CY33" s="234">
        <v>2.655688</v>
      </c>
      <c r="CZ33" s="234">
        <v>2.6956030000000002</v>
      </c>
      <c r="DA33" s="234">
        <v>2.8037519999999998</v>
      </c>
      <c r="DB33" s="234">
        <v>2.5459459999999998</v>
      </c>
      <c r="DC33" s="234">
        <v>0</v>
      </c>
      <c r="DD33" s="234">
        <v>0</v>
      </c>
      <c r="DE33" s="234">
        <v>0</v>
      </c>
      <c r="DF33" s="234">
        <v>0</v>
      </c>
      <c r="DG33" s="234">
        <v>0</v>
      </c>
      <c r="DH33" s="234">
        <v>0</v>
      </c>
      <c r="DI33" s="234">
        <v>0</v>
      </c>
      <c r="DJ33" s="234">
        <v>0</v>
      </c>
      <c r="DK33" s="236"/>
      <c r="DL33" s="234">
        <v>20.271000000000001</v>
      </c>
      <c r="DM33" s="234">
        <v>113.84236001086524</v>
      </c>
      <c r="DN33" s="234">
        <v>146.73237081496279</v>
      </c>
      <c r="DO33" s="234">
        <v>158.05263573356692</v>
      </c>
      <c r="DP33" s="234">
        <v>6.7915179999999999</v>
      </c>
      <c r="DQ33" s="234">
        <v>163.16581941971771</v>
      </c>
      <c r="DR33" s="234">
        <v>175.74261836942611</v>
      </c>
      <c r="DS33" s="234">
        <v>5.7071336441034015</v>
      </c>
      <c r="DT33" s="234">
        <v>6.4523294537551168</v>
      </c>
      <c r="DU33" s="237"/>
      <c r="DV33" s="238">
        <v>48009.72</v>
      </c>
      <c r="DW33" s="238">
        <v>4181.17</v>
      </c>
      <c r="DX33" s="238">
        <v>84756.497069999998</v>
      </c>
      <c r="DY33" s="238">
        <v>13860.76</v>
      </c>
      <c r="DZ33" s="238">
        <v>280971.46596</v>
      </c>
      <c r="EB33" s="239">
        <v>44316</v>
      </c>
      <c r="EC33" s="239">
        <v>44347</v>
      </c>
    </row>
    <row r="34" spans="1:133" x14ac:dyDescent="0.35">
      <c r="A34" s="233">
        <v>44347</v>
      </c>
      <c r="B34" s="234">
        <v>2.9376639999999998</v>
      </c>
      <c r="C34" s="234">
        <v>3.360525</v>
      </c>
      <c r="D34" s="234">
        <v>2.937662</v>
      </c>
      <c r="E34" s="234">
        <v>3.4381750000000002</v>
      </c>
      <c r="F34" s="234">
        <v>3.0366949999999999</v>
      </c>
      <c r="G34" s="234">
        <v>2.9858579999999999</v>
      </c>
      <c r="H34" s="234">
        <v>2.948423</v>
      </c>
      <c r="I34" s="234">
        <v>2.9966719999999998</v>
      </c>
      <c r="J34" s="234">
        <v>2.5402079999999998</v>
      </c>
      <c r="K34" s="234">
        <v>2.6657829999999998</v>
      </c>
      <c r="L34" s="234">
        <v>4.937792</v>
      </c>
      <c r="M34" s="234">
        <v>0</v>
      </c>
      <c r="N34" s="234">
        <v>5.7069210000000004</v>
      </c>
      <c r="O34" s="234">
        <v>5.7594880000000002</v>
      </c>
      <c r="P34" s="234">
        <v>4.9377880000000003</v>
      </c>
      <c r="Q34" s="234">
        <v>5.8712929999999997</v>
      </c>
      <c r="R34" s="234">
        <v>5.1473649999999997</v>
      </c>
      <c r="S34" s="234">
        <v>5.1058469999999998</v>
      </c>
      <c r="T34" s="234">
        <v>5.3673250000000001</v>
      </c>
      <c r="U34" s="234">
        <v>5.3871089999999997</v>
      </c>
      <c r="V34" s="234">
        <v>5.5368890000000004</v>
      </c>
      <c r="W34" s="234">
        <v>0.64308200000000004</v>
      </c>
      <c r="X34" s="234">
        <v>0.78485400000000005</v>
      </c>
      <c r="Y34" s="234">
        <v>0.81396299999999999</v>
      </c>
      <c r="Z34" s="234">
        <v>0.64308299999999996</v>
      </c>
      <c r="AA34" s="234">
        <v>0.696878</v>
      </c>
      <c r="AB34" s="234">
        <v>0.81621699999999997</v>
      </c>
      <c r="AC34" s="234">
        <v>0.68156300000000003</v>
      </c>
      <c r="AD34" s="234">
        <v>0.672933</v>
      </c>
      <c r="AE34" s="234">
        <v>0.68480200000000002</v>
      </c>
      <c r="AF34" s="234">
        <v>0.76746000000000003</v>
      </c>
      <c r="AG34" s="234">
        <v>0.70702600000000004</v>
      </c>
      <c r="AH34" s="234">
        <v>1.0506089999999999</v>
      </c>
      <c r="AI34" s="234">
        <v>1.1496409999999999</v>
      </c>
      <c r="AJ34" s="234">
        <v>1.050352</v>
      </c>
      <c r="AK34" s="234">
        <v>1.191147</v>
      </c>
      <c r="AL34" s="234">
        <v>1.0800449999999999</v>
      </c>
      <c r="AM34" s="234">
        <v>1.050394</v>
      </c>
      <c r="AN34" s="234">
        <v>1.064853</v>
      </c>
      <c r="AO34" s="234">
        <v>1.064872</v>
      </c>
      <c r="AP34" s="234">
        <v>1.2958179999999999</v>
      </c>
      <c r="AQ34" s="234">
        <v>1.287569</v>
      </c>
      <c r="AR34" s="234">
        <v>1.218529</v>
      </c>
      <c r="AS34" s="234">
        <v>1.295812</v>
      </c>
      <c r="AT34" s="234">
        <v>1.3370599999999999</v>
      </c>
      <c r="AU34" s="234">
        <v>1.2562949999999999</v>
      </c>
      <c r="AV34" s="234">
        <v>1.3173729999999999</v>
      </c>
      <c r="AW34" s="234">
        <v>1.2701420000000001</v>
      </c>
      <c r="AX34" s="234">
        <v>1.2421120000000001</v>
      </c>
      <c r="AY34" s="234">
        <v>1.359653</v>
      </c>
      <c r="AZ34" s="234">
        <v>1.2492620000000001</v>
      </c>
      <c r="BA34" s="234">
        <v>1.2729779999999999</v>
      </c>
      <c r="BB34" s="235"/>
      <c r="BC34" s="234">
        <v>1.270167</v>
      </c>
      <c r="BD34" s="234">
        <v>1.3154889999999999</v>
      </c>
      <c r="BE34" s="234">
        <v>1.3280909999999999</v>
      </c>
      <c r="BF34" s="234">
        <v>1.2703070000000001</v>
      </c>
      <c r="BG34" s="234">
        <v>1.2864899999999999</v>
      </c>
      <c r="BH34" s="234">
        <v>1.302454</v>
      </c>
      <c r="BI34" s="234">
        <v>1.359999</v>
      </c>
      <c r="BJ34" s="234">
        <v>1.294365</v>
      </c>
      <c r="BK34" s="234">
        <v>1.288503</v>
      </c>
      <c r="BL34" s="234">
        <v>1.302413</v>
      </c>
      <c r="BM34" s="234">
        <v>1.3164260000000001</v>
      </c>
      <c r="BN34" s="234">
        <v>1.3093889999999999</v>
      </c>
      <c r="BO34" s="234">
        <v>3.6211250000000001</v>
      </c>
      <c r="BP34" s="234">
        <v>3.9313940000000001</v>
      </c>
      <c r="BQ34" s="234">
        <v>3.9632450000000001</v>
      </c>
      <c r="BR34" s="234">
        <v>3.6203379999999998</v>
      </c>
      <c r="BS34" s="234">
        <v>3.6521340000000002</v>
      </c>
      <c r="BT34" s="234">
        <v>3.6826669999999999</v>
      </c>
      <c r="BU34" s="234">
        <v>3.814346</v>
      </c>
      <c r="BV34" s="234">
        <v>3.6677789999999999</v>
      </c>
      <c r="BW34" s="234">
        <v>3.6659169999999999</v>
      </c>
      <c r="BX34" s="234">
        <v>3.6924250000000001</v>
      </c>
      <c r="BY34" s="234">
        <v>3.7189649999999999</v>
      </c>
      <c r="BZ34" s="234">
        <v>3.7058710000000001</v>
      </c>
      <c r="CA34" s="234">
        <v>0.39617599999999997</v>
      </c>
      <c r="CB34" s="234">
        <v>0.39740599999999998</v>
      </c>
      <c r="CC34" s="234">
        <v>0.394654</v>
      </c>
      <c r="CD34" s="234">
        <v>0.41958400000000001</v>
      </c>
      <c r="CE34" s="234">
        <v>0.414018</v>
      </c>
      <c r="CF34" s="234">
        <v>0.395702</v>
      </c>
      <c r="CG34" s="234">
        <v>0.39627000000000001</v>
      </c>
      <c r="CH34" s="234">
        <v>0.39565600000000001</v>
      </c>
      <c r="CI34" s="234">
        <v>1.3444480000000001</v>
      </c>
      <c r="CJ34" s="234">
        <v>1.3791310000000001</v>
      </c>
      <c r="CK34" s="234">
        <v>1.39286</v>
      </c>
      <c r="CL34" s="234">
        <v>1.344576</v>
      </c>
      <c r="CM34" s="234">
        <v>1.3616170000000001</v>
      </c>
      <c r="CN34" s="234">
        <v>1.378865</v>
      </c>
      <c r="CO34" s="234">
        <v>1.426701</v>
      </c>
      <c r="CP34" s="234">
        <v>1.370085</v>
      </c>
      <c r="CQ34" s="234">
        <v>1.364641</v>
      </c>
      <c r="CR34" s="234">
        <v>1.3785799999999999</v>
      </c>
      <c r="CS34" s="234">
        <v>1.3932450000000001</v>
      </c>
      <c r="CT34" s="234">
        <v>1.3857520000000001</v>
      </c>
      <c r="CU34" s="234">
        <v>2.703036</v>
      </c>
      <c r="CV34" s="234">
        <v>2.7045979999999998</v>
      </c>
      <c r="CW34" s="234">
        <v>2.945265</v>
      </c>
      <c r="CX34" s="234">
        <v>2.6972209999999999</v>
      </c>
      <c r="CY34" s="234">
        <v>2.812262</v>
      </c>
      <c r="CZ34" s="234">
        <v>2.8554590000000002</v>
      </c>
      <c r="DA34" s="234">
        <v>2.9739279999999999</v>
      </c>
      <c r="DB34" s="234">
        <v>2.6924039999999998</v>
      </c>
      <c r="DC34" s="234">
        <v>0</v>
      </c>
      <c r="DD34" s="234">
        <v>0</v>
      </c>
      <c r="DE34" s="234">
        <v>0</v>
      </c>
      <c r="DF34" s="234">
        <v>0</v>
      </c>
      <c r="DG34" s="234">
        <v>0</v>
      </c>
      <c r="DH34" s="234">
        <v>0</v>
      </c>
      <c r="DI34" s="234">
        <v>0</v>
      </c>
      <c r="DJ34" s="234">
        <v>0</v>
      </c>
      <c r="DK34" s="236"/>
      <c r="DL34" s="234">
        <v>19.944500000000001</v>
      </c>
      <c r="DM34" s="234">
        <v>113.94333185961931</v>
      </c>
      <c r="DN34" s="234">
        <v>147.04446241588784</v>
      </c>
      <c r="DO34" s="234">
        <v>158.5208227634177</v>
      </c>
      <c r="DP34" s="234">
        <v>6.8109650000000004</v>
      </c>
      <c r="DQ34" s="234">
        <v>163.6322923679032</v>
      </c>
      <c r="DR34" s="234">
        <v>176.39184089211918</v>
      </c>
      <c r="DS34" s="234">
        <v>5.7223316617319044</v>
      </c>
      <c r="DT34" s="234">
        <v>6.4749014048824032</v>
      </c>
      <c r="DU34" s="237"/>
      <c r="DV34" s="238">
        <v>50885.95</v>
      </c>
      <c r="DW34" s="238">
        <v>4204.1099999999997</v>
      </c>
      <c r="DX34" s="238">
        <v>83848.871895000004</v>
      </c>
      <c r="DY34" s="238">
        <v>13686.512000000001</v>
      </c>
      <c r="DZ34" s="238">
        <v>272970.63858400006</v>
      </c>
      <c r="EB34" s="239">
        <v>44347</v>
      </c>
      <c r="EC34" s="239">
        <v>44377</v>
      </c>
    </row>
    <row r="35" spans="1:133" x14ac:dyDescent="0.35">
      <c r="A35" s="233">
        <v>44377</v>
      </c>
      <c r="B35" s="234">
        <v>2.9198200000000001</v>
      </c>
      <c r="C35" s="234">
        <v>3.3443309999999999</v>
      </c>
      <c r="D35" s="234">
        <v>2.9198179999999998</v>
      </c>
      <c r="E35" s="234">
        <v>3.4238909999999998</v>
      </c>
      <c r="F35" s="234">
        <v>3.021207</v>
      </c>
      <c r="G35" s="234">
        <v>2.9694219999999998</v>
      </c>
      <c r="H35" s="234">
        <v>2.9305219999999998</v>
      </c>
      <c r="I35" s="234">
        <v>2.9802050000000002</v>
      </c>
      <c r="J35" s="234">
        <v>2.5441120000000002</v>
      </c>
      <c r="K35" s="234">
        <v>2.6722899999999998</v>
      </c>
      <c r="L35" s="234">
        <v>4.9429449999999999</v>
      </c>
      <c r="M35" s="234">
        <v>0</v>
      </c>
      <c r="N35" s="234">
        <v>5.717981</v>
      </c>
      <c r="O35" s="234">
        <v>5.7775319999999999</v>
      </c>
      <c r="P35" s="234">
        <v>4.9429410000000003</v>
      </c>
      <c r="Q35" s="234">
        <v>5.8907930000000004</v>
      </c>
      <c r="R35" s="234">
        <v>5.1590720000000001</v>
      </c>
      <c r="S35" s="234">
        <v>5.115742</v>
      </c>
      <c r="T35" s="234">
        <v>5.3771560000000003</v>
      </c>
      <c r="U35" s="234">
        <v>5.3995680000000004</v>
      </c>
      <c r="V35" s="234">
        <v>5.5515829999999999</v>
      </c>
      <c r="W35" s="234">
        <v>0.64351800000000003</v>
      </c>
      <c r="X35" s="234">
        <v>0.786578</v>
      </c>
      <c r="Y35" s="234">
        <v>0.81594500000000003</v>
      </c>
      <c r="Z35" s="234">
        <v>0.64351899999999995</v>
      </c>
      <c r="AA35" s="234">
        <v>0.69772599999999996</v>
      </c>
      <c r="AB35" s="234">
        <v>0.81894599999999995</v>
      </c>
      <c r="AC35" s="234">
        <v>0.68319600000000003</v>
      </c>
      <c r="AD35" s="234">
        <v>0.674404</v>
      </c>
      <c r="AE35" s="234">
        <v>0.68546300000000004</v>
      </c>
      <c r="AF35" s="234">
        <v>0.76881299999999997</v>
      </c>
      <c r="AG35" s="234">
        <v>0.70848900000000004</v>
      </c>
      <c r="AH35" s="234">
        <v>1.0490219999999999</v>
      </c>
      <c r="AI35" s="234">
        <v>1.1481429999999999</v>
      </c>
      <c r="AJ35" s="234">
        <v>1.0487649999999999</v>
      </c>
      <c r="AK35" s="234">
        <v>1.1907840000000001</v>
      </c>
      <c r="AL35" s="234">
        <v>1.079294</v>
      </c>
      <c r="AM35" s="234">
        <v>1.048808</v>
      </c>
      <c r="AN35" s="234">
        <v>1.0632470000000001</v>
      </c>
      <c r="AO35" s="234">
        <v>1.063267</v>
      </c>
      <c r="AP35" s="234">
        <v>1.298028</v>
      </c>
      <c r="AQ35" s="234">
        <v>1.290985</v>
      </c>
      <c r="AR35" s="234">
        <v>1.2199709999999999</v>
      </c>
      <c r="AS35" s="234">
        <v>1.298022</v>
      </c>
      <c r="AT35" s="234">
        <v>1.33969</v>
      </c>
      <c r="AU35" s="234">
        <v>1.2581089999999999</v>
      </c>
      <c r="AV35" s="234">
        <v>1.321747</v>
      </c>
      <c r="AW35" s="234">
        <v>1.273201</v>
      </c>
      <c r="AX35" s="234">
        <v>1.244496</v>
      </c>
      <c r="AY35" s="234">
        <v>1.3632390000000001</v>
      </c>
      <c r="AZ35" s="234">
        <v>1.2516579999999999</v>
      </c>
      <c r="BA35" s="234">
        <v>1.2763340000000001</v>
      </c>
      <c r="BB35" s="235"/>
      <c r="BC35" s="234">
        <v>1.276332</v>
      </c>
      <c r="BD35" s="234">
        <v>1.3228850000000001</v>
      </c>
      <c r="BE35" s="234">
        <v>1.3358779999999999</v>
      </c>
      <c r="BF35" s="234">
        <v>1.2764720000000001</v>
      </c>
      <c r="BG35" s="234">
        <v>1.2930619999999999</v>
      </c>
      <c r="BH35" s="234">
        <v>1.309429</v>
      </c>
      <c r="BI35" s="234">
        <v>1.3690329999999999</v>
      </c>
      <c r="BJ35" s="234">
        <v>1.301131</v>
      </c>
      <c r="BK35" s="234">
        <v>1.295237</v>
      </c>
      <c r="BL35" s="234">
        <v>1.3094920000000001</v>
      </c>
      <c r="BM35" s="234">
        <v>1.323874</v>
      </c>
      <c r="BN35" s="234">
        <v>1.3166549999999999</v>
      </c>
      <c r="BO35" s="234">
        <v>3.6621109999999999</v>
      </c>
      <c r="BP35" s="234">
        <v>3.9780000000000002</v>
      </c>
      <c r="BQ35" s="234">
        <v>4.011196</v>
      </c>
      <c r="BR35" s="234">
        <v>3.6613159999999998</v>
      </c>
      <c r="BS35" s="234">
        <v>3.6943959999999998</v>
      </c>
      <c r="BT35" s="234">
        <v>3.7261790000000001</v>
      </c>
      <c r="BU35" s="234">
        <v>3.8636119999999998</v>
      </c>
      <c r="BV35" s="234">
        <v>3.7106859999999999</v>
      </c>
      <c r="BW35" s="234">
        <v>3.7088009999999998</v>
      </c>
      <c r="BX35" s="234">
        <v>3.7363759999999999</v>
      </c>
      <c r="BY35" s="234">
        <v>3.7640289999999998</v>
      </c>
      <c r="BZ35" s="234">
        <v>3.7503739999999999</v>
      </c>
      <c r="CA35" s="234">
        <v>0.40326200000000001</v>
      </c>
      <c r="CB35" s="234">
        <v>0.404555</v>
      </c>
      <c r="CC35" s="234">
        <v>0.40160400000000002</v>
      </c>
      <c r="CD35" s="234">
        <v>0.42784299999999997</v>
      </c>
      <c r="CE35" s="234">
        <v>0.42193399999999998</v>
      </c>
      <c r="CF35" s="234">
        <v>0.40270899999999998</v>
      </c>
      <c r="CG35" s="234">
        <v>0.40335900000000002</v>
      </c>
      <c r="CH35" s="234">
        <v>0.40266800000000003</v>
      </c>
      <c r="CI35" s="234">
        <v>1.356868</v>
      </c>
      <c r="CJ35" s="234">
        <v>1.3927099999999999</v>
      </c>
      <c r="CK35" s="234">
        <v>1.4069240000000001</v>
      </c>
      <c r="CL35" s="234">
        <v>1.356997</v>
      </c>
      <c r="CM35" s="234">
        <v>1.3745419999999999</v>
      </c>
      <c r="CN35" s="234">
        <v>1.3923049999999999</v>
      </c>
      <c r="CO35" s="234">
        <v>1.4421219999999999</v>
      </c>
      <c r="CP35" s="234">
        <v>1.383265</v>
      </c>
      <c r="CQ35" s="234">
        <v>1.3777630000000001</v>
      </c>
      <c r="CR35" s="234">
        <v>1.392137</v>
      </c>
      <c r="CS35" s="234">
        <v>1.407246</v>
      </c>
      <c r="CT35" s="234">
        <v>1.399527</v>
      </c>
      <c r="CU35" s="234">
        <v>2.6750759999999998</v>
      </c>
      <c r="CV35" s="234">
        <v>2.6768179999999999</v>
      </c>
      <c r="CW35" s="234">
        <v>2.9223659999999998</v>
      </c>
      <c r="CX35" s="234">
        <v>2.669419</v>
      </c>
      <c r="CY35" s="234">
        <v>2.7864960000000001</v>
      </c>
      <c r="CZ35" s="234">
        <v>2.8307419999999999</v>
      </c>
      <c r="DA35" s="234">
        <v>2.9517259999999998</v>
      </c>
      <c r="DB35" s="234">
        <v>2.6644580000000002</v>
      </c>
      <c r="DC35" s="234">
        <v>0</v>
      </c>
      <c r="DD35" s="234">
        <v>0</v>
      </c>
      <c r="DE35" s="234">
        <v>0</v>
      </c>
      <c r="DF35" s="234">
        <v>0</v>
      </c>
      <c r="DG35" s="234">
        <v>0</v>
      </c>
      <c r="DH35" s="234">
        <v>0</v>
      </c>
      <c r="DI35" s="234">
        <v>0</v>
      </c>
      <c r="DJ35" s="234">
        <v>0</v>
      </c>
      <c r="DK35" s="236"/>
      <c r="DL35" s="234">
        <v>19.934999999999999</v>
      </c>
      <c r="DM35" s="234">
        <v>114.04208274723096</v>
      </c>
      <c r="DN35" s="234">
        <v>147.34222745228001</v>
      </c>
      <c r="DO35" s="234">
        <v>158.96996509458069</v>
      </c>
      <c r="DP35" s="234">
        <v>6.8303770000000004</v>
      </c>
      <c r="DQ35" s="234">
        <v>164.08909918409694</v>
      </c>
      <c r="DR35" s="234">
        <v>177.02685151933082</v>
      </c>
      <c r="DS35" s="234">
        <v>5.7371525007357906</v>
      </c>
      <c r="DT35" s="234">
        <v>6.4969052781566621</v>
      </c>
      <c r="DU35" s="237"/>
      <c r="DV35" s="238">
        <v>50289.75</v>
      </c>
      <c r="DW35" s="238">
        <v>4297.5</v>
      </c>
      <c r="DX35" s="238">
        <v>85670.662499999991</v>
      </c>
      <c r="DY35" s="238">
        <v>14554.802</v>
      </c>
      <c r="DZ35" s="238">
        <v>290149.97787</v>
      </c>
      <c r="EB35" s="239">
        <v>44377</v>
      </c>
      <c r="EC35" s="239">
        <v>44407</v>
      </c>
    </row>
    <row r="36" spans="1:133" x14ac:dyDescent="0.35">
      <c r="A36" s="233">
        <v>44407</v>
      </c>
      <c r="B36" s="234">
        <v>2.9317359999999999</v>
      </c>
      <c r="C36" s="234">
        <v>3.3625090000000002</v>
      </c>
      <c r="D36" s="234">
        <v>2.9317350000000002</v>
      </c>
      <c r="E36" s="234">
        <v>3.4449529999999999</v>
      </c>
      <c r="F36" s="234">
        <v>3.0367109999999999</v>
      </c>
      <c r="G36" s="234">
        <v>2.9834260000000001</v>
      </c>
      <c r="H36" s="234">
        <v>2.942491</v>
      </c>
      <c r="I36" s="234">
        <v>2.9942880000000001</v>
      </c>
      <c r="J36" s="234">
        <v>2.5486360000000001</v>
      </c>
      <c r="K36" s="234">
        <v>2.6796099999999998</v>
      </c>
      <c r="L36" s="234">
        <v>4.9497289999999996</v>
      </c>
      <c r="M36" s="234">
        <v>0</v>
      </c>
      <c r="N36" s="234">
        <v>5.7311930000000002</v>
      </c>
      <c r="O36" s="234">
        <v>5.7982469999999999</v>
      </c>
      <c r="P36" s="234">
        <v>4.9497260000000001</v>
      </c>
      <c r="Q36" s="234">
        <v>5.9131150000000003</v>
      </c>
      <c r="R36" s="234">
        <v>5.1729310000000002</v>
      </c>
      <c r="S36" s="234">
        <v>5.1275620000000002</v>
      </c>
      <c r="T36" s="234">
        <v>5.3890549999999999</v>
      </c>
      <c r="U36" s="234">
        <v>5.4142900000000003</v>
      </c>
      <c r="V36" s="234">
        <v>5.5686540000000004</v>
      </c>
      <c r="W36" s="234">
        <v>0.64413200000000004</v>
      </c>
      <c r="X36" s="234">
        <v>0.78860300000000005</v>
      </c>
      <c r="Y36" s="234">
        <v>0.81825400000000004</v>
      </c>
      <c r="Z36" s="234">
        <v>0.64413200000000004</v>
      </c>
      <c r="AA36" s="234">
        <v>0.698793</v>
      </c>
      <c r="AB36" s="234">
        <v>0.82205799999999996</v>
      </c>
      <c r="AC36" s="234">
        <v>0.68510000000000004</v>
      </c>
      <c r="AD36" s="234">
        <v>0.67613299999999998</v>
      </c>
      <c r="AE36" s="234">
        <v>0.68632700000000002</v>
      </c>
      <c r="AF36" s="234">
        <v>0.77043600000000001</v>
      </c>
      <c r="AG36" s="234">
        <v>0.71021599999999996</v>
      </c>
      <c r="AH36" s="234">
        <v>1.0460940000000001</v>
      </c>
      <c r="AI36" s="234">
        <v>1.1452100000000001</v>
      </c>
      <c r="AJ36" s="234">
        <v>1.0458369999999999</v>
      </c>
      <c r="AK36" s="234">
        <v>1.189011</v>
      </c>
      <c r="AL36" s="234">
        <v>1.0772200000000001</v>
      </c>
      <c r="AM36" s="234">
        <v>1.045882</v>
      </c>
      <c r="AN36" s="234">
        <v>1.0602830000000001</v>
      </c>
      <c r="AO36" s="234">
        <v>1.0603039999999999</v>
      </c>
      <c r="AP36" s="234">
        <v>1.300713</v>
      </c>
      <c r="AQ36" s="234">
        <v>1.2949600000000001</v>
      </c>
      <c r="AR36" s="234">
        <v>1.221814</v>
      </c>
      <c r="AS36" s="234">
        <v>1.3007070000000001</v>
      </c>
      <c r="AT36" s="234">
        <v>1.3428340000000001</v>
      </c>
      <c r="AU36" s="234">
        <v>1.260362</v>
      </c>
      <c r="AV36" s="234">
        <v>1.3267549999999999</v>
      </c>
      <c r="AW36" s="234">
        <v>1.2767900000000001</v>
      </c>
      <c r="AX36" s="234">
        <v>1.2473289999999999</v>
      </c>
      <c r="AY36" s="234">
        <v>1.3673900000000001</v>
      </c>
      <c r="AZ36" s="234">
        <v>1.254532</v>
      </c>
      <c r="BA36" s="234">
        <v>1.280216</v>
      </c>
      <c r="BB36" s="235"/>
      <c r="BC36" s="234">
        <v>1.2858529999999999</v>
      </c>
      <c r="BD36" s="234">
        <v>1.3338380000000001</v>
      </c>
      <c r="BE36" s="234">
        <v>1.347283</v>
      </c>
      <c r="BF36" s="234">
        <v>1.2859940000000001</v>
      </c>
      <c r="BG36" s="234">
        <v>1.3030619999999999</v>
      </c>
      <c r="BH36" s="234">
        <v>1.3198989999999999</v>
      </c>
      <c r="BI36" s="234">
        <v>1.381867</v>
      </c>
      <c r="BJ36" s="234">
        <v>1.311358</v>
      </c>
      <c r="BK36" s="234">
        <v>1.3054129999999999</v>
      </c>
      <c r="BL36" s="234">
        <v>1.3200799999999999</v>
      </c>
      <c r="BM36" s="234">
        <v>1.334889</v>
      </c>
      <c r="BN36" s="234">
        <v>1.3274539999999999</v>
      </c>
      <c r="BO36" s="234">
        <v>3.7074549999999999</v>
      </c>
      <c r="BP36" s="234">
        <v>4.0293799999999997</v>
      </c>
      <c r="BQ36" s="234">
        <v>4.0640419999999997</v>
      </c>
      <c r="BR36" s="234">
        <v>3.7066490000000001</v>
      </c>
      <c r="BS36" s="234">
        <v>3.7411379999999999</v>
      </c>
      <c r="BT36" s="234">
        <v>3.7742909999999998</v>
      </c>
      <c r="BU36" s="234">
        <v>3.9180350000000002</v>
      </c>
      <c r="BV36" s="234">
        <v>3.7581349999999998</v>
      </c>
      <c r="BW36" s="234">
        <v>3.756227</v>
      </c>
      <c r="BX36" s="234">
        <v>3.7849689999999998</v>
      </c>
      <c r="BY36" s="234">
        <v>3.8138420000000002</v>
      </c>
      <c r="BZ36" s="234">
        <v>3.7995869999999998</v>
      </c>
      <c r="CA36" s="234">
        <v>0.41094700000000001</v>
      </c>
      <c r="CB36" s="234">
        <v>0.41230299999999998</v>
      </c>
      <c r="CC36" s="234">
        <v>0.40925699999999998</v>
      </c>
      <c r="CD36" s="234">
        <v>0.43680799999999997</v>
      </c>
      <c r="CE36" s="234">
        <v>0.43065399999999998</v>
      </c>
      <c r="CF36" s="234">
        <v>0.41041699999999998</v>
      </c>
      <c r="CG36" s="234">
        <v>0.41104600000000002</v>
      </c>
      <c r="CH36" s="234">
        <v>0.41037800000000002</v>
      </c>
      <c r="CI36" s="234">
        <v>1.3715459999999999</v>
      </c>
      <c r="CJ36" s="234">
        <v>1.408706</v>
      </c>
      <c r="CK36" s="234">
        <v>1.423462</v>
      </c>
      <c r="CL36" s="234">
        <v>1.371677</v>
      </c>
      <c r="CM36" s="234">
        <v>1.3897870000000001</v>
      </c>
      <c r="CN36" s="234">
        <v>1.4081250000000001</v>
      </c>
      <c r="CO36" s="234">
        <v>1.4601470000000001</v>
      </c>
      <c r="CP36" s="234">
        <v>1.3987940000000001</v>
      </c>
      <c r="CQ36" s="234">
        <v>1.3932260000000001</v>
      </c>
      <c r="CR36" s="234">
        <v>1.408085</v>
      </c>
      <c r="CS36" s="234">
        <v>1.423694</v>
      </c>
      <c r="CT36" s="234">
        <v>1.415724</v>
      </c>
      <c r="CU36" s="234">
        <v>2.7040229999999998</v>
      </c>
      <c r="CV36" s="234">
        <v>2.7060599999999999</v>
      </c>
      <c r="CW36" s="234">
        <v>2.9622380000000001</v>
      </c>
      <c r="CX36" s="234">
        <v>2.6985329999999998</v>
      </c>
      <c r="CY36" s="234">
        <v>2.8202370000000001</v>
      </c>
      <c r="CZ36" s="234">
        <v>2.8667050000000001</v>
      </c>
      <c r="DA36" s="234">
        <v>2.9929749999999999</v>
      </c>
      <c r="DB36" s="234">
        <v>2.6932429999999998</v>
      </c>
      <c r="DC36" s="234">
        <v>0</v>
      </c>
      <c r="DD36" s="234">
        <v>0</v>
      </c>
      <c r="DE36" s="234">
        <v>0</v>
      </c>
      <c r="DF36" s="234">
        <v>0</v>
      </c>
      <c r="DG36" s="234">
        <v>0</v>
      </c>
      <c r="DH36" s="234">
        <v>0</v>
      </c>
      <c r="DI36" s="234">
        <v>0</v>
      </c>
      <c r="DJ36" s="234">
        <v>0</v>
      </c>
      <c r="DK36" s="236"/>
      <c r="DL36" s="234">
        <v>19.904499999999999</v>
      </c>
      <c r="DM36" s="234">
        <v>114.14757167377216</v>
      </c>
      <c r="DN36" s="234">
        <v>147.66392464888418</v>
      </c>
      <c r="DO36" s="234">
        <v>159.44555024015531</v>
      </c>
      <c r="DP36" s="234">
        <v>6.8677299999999999</v>
      </c>
      <c r="DQ36" s="234">
        <v>164.57452943584991</v>
      </c>
      <c r="DR36" s="234">
        <v>177.69365266005363</v>
      </c>
      <c r="DS36" s="234">
        <v>5.7531687181336784</v>
      </c>
      <c r="DT36" s="234">
        <v>6.5202941371580261</v>
      </c>
      <c r="DU36" s="237"/>
      <c r="DV36" s="238">
        <v>50868.32</v>
      </c>
      <c r="DW36" s="238">
        <v>4395.26</v>
      </c>
      <c r="DX36" s="238">
        <v>87485.452669999999</v>
      </c>
      <c r="DY36" s="238">
        <v>14959.896000000001</v>
      </c>
      <c r="DZ36" s="238">
        <v>297769.24993200001</v>
      </c>
      <c r="EB36" s="239">
        <v>44407</v>
      </c>
      <c r="EC36" s="239">
        <v>44439</v>
      </c>
    </row>
    <row r="37" spans="1:133" x14ac:dyDescent="0.35">
      <c r="A37" s="233">
        <v>44439</v>
      </c>
      <c r="B37" s="234">
        <v>2.9394399999999998</v>
      </c>
      <c r="C37" s="234">
        <v>3.3755980000000001</v>
      </c>
      <c r="D37" s="234">
        <v>2.939438</v>
      </c>
      <c r="E37" s="234">
        <v>3.4606720000000002</v>
      </c>
      <c r="F37" s="234">
        <v>3.047679</v>
      </c>
      <c r="G37" s="234">
        <v>2.993017</v>
      </c>
      <c r="H37" s="234">
        <v>2.9502320000000002</v>
      </c>
      <c r="I37" s="234">
        <v>3.0039349999999998</v>
      </c>
      <c r="J37" s="234">
        <v>2.551364</v>
      </c>
      <c r="K37" s="234">
        <v>2.6848930000000002</v>
      </c>
      <c r="L37" s="234">
        <v>4.9567699999999997</v>
      </c>
      <c r="M37" s="234">
        <v>0</v>
      </c>
      <c r="N37" s="234">
        <v>5.7443960000000001</v>
      </c>
      <c r="O37" s="234">
        <v>5.8185359999999999</v>
      </c>
      <c r="P37" s="234">
        <v>4.956766</v>
      </c>
      <c r="Q37" s="234">
        <v>5.9349259999999999</v>
      </c>
      <c r="R37" s="234">
        <v>5.1866669999999999</v>
      </c>
      <c r="S37" s="234">
        <v>5.1393740000000001</v>
      </c>
      <c r="T37" s="234">
        <v>5.40097</v>
      </c>
      <c r="U37" s="234">
        <v>5.4288699999999999</v>
      </c>
      <c r="V37" s="234">
        <v>5.5854920000000003</v>
      </c>
      <c r="W37" s="234">
        <v>0.64479200000000003</v>
      </c>
      <c r="X37" s="234">
        <v>0.79061300000000001</v>
      </c>
      <c r="Y37" s="234">
        <v>0.82053500000000001</v>
      </c>
      <c r="Z37" s="234">
        <v>0.64479200000000003</v>
      </c>
      <c r="AA37" s="234">
        <v>0.69988700000000004</v>
      </c>
      <c r="AB37" s="234">
        <v>0.82509600000000005</v>
      </c>
      <c r="AC37" s="234">
        <v>0.68698099999999995</v>
      </c>
      <c r="AD37" s="234">
        <v>0.67784299999999997</v>
      </c>
      <c r="AE37" s="234">
        <v>0.68722799999999995</v>
      </c>
      <c r="AF37" s="234">
        <v>0.77206399999999997</v>
      </c>
      <c r="AG37" s="234">
        <v>0.71193099999999998</v>
      </c>
      <c r="AH37" s="234">
        <v>1.0538350000000001</v>
      </c>
      <c r="AI37" s="234">
        <v>1.153937</v>
      </c>
      <c r="AJ37" s="234">
        <v>1.053577</v>
      </c>
      <c r="AK37" s="234">
        <v>1.1992700000000001</v>
      </c>
      <c r="AL37" s="234">
        <v>1.0860780000000001</v>
      </c>
      <c r="AM37" s="234">
        <v>1.0536220000000001</v>
      </c>
      <c r="AN37" s="234">
        <v>1.0681320000000001</v>
      </c>
      <c r="AO37" s="234">
        <v>1.068157</v>
      </c>
      <c r="AP37" s="234">
        <v>1.3034559999999999</v>
      </c>
      <c r="AQ37" s="234">
        <v>1.298915</v>
      </c>
      <c r="AR37" s="234">
        <v>1.223751</v>
      </c>
      <c r="AS37" s="234">
        <v>1.30345</v>
      </c>
      <c r="AT37" s="234">
        <v>1.3460160000000001</v>
      </c>
      <c r="AU37" s="234">
        <v>1.262689</v>
      </c>
      <c r="AV37" s="234">
        <v>1.3316920000000001</v>
      </c>
      <c r="AW37" s="234">
        <v>1.280381</v>
      </c>
      <c r="AX37" s="234">
        <v>1.250151</v>
      </c>
      <c r="AY37" s="234">
        <v>1.371472</v>
      </c>
      <c r="AZ37" s="234">
        <v>1.257444</v>
      </c>
      <c r="BA37" s="234">
        <v>1.284033</v>
      </c>
      <c r="BB37" s="235"/>
      <c r="BC37" s="234">
        <v>1.3023210000000001</v>
      </c>
      <c r="BD37" s="234">
        <v>1.351945</v>
      </c>
      <c r="BE37" s="234">
        <v>1.365901</v>
      </c>
      <c r="BF37" s="234">
        <v>1.3024640000000001</v>
      </c>
      <c r="BG37" s="234">
        <v>1.320087</v>
      </c>
      <c r="BH37" s="234">
        <v>1.337472</v>
      </c>
      <c r="BI37" s="234">
        <v>1.4020600000000001</v>
      </c>
      <c r="BJ37" s="234">
        <v>1.3286469999999999</v>
      </c>
      <c r="BK37" s="234">
        <v>1.3226199999999999</v>
      </c>
      <c r="BL37" s="234">
        <v>1.337771</v>
      </c>
      <c r="BM37" s="234">
        <v>1.3530690000000001</v>
      </c>
      <c r="BN37" s="234">
        <v>1.3453889999999999</v>
      </c>
      <c r="BO37" s="234">
        <v>3.796564</v>
      </c>
      <c r="BP37" s="234">
        <v>4.1282579999999998</v>
      </c>
      <c r="BQ37" s="234">
        <v>4.164771</v>
      </c>
      <c r="BR37" s="234">
        <v>3.7957380000000001</v>
      </c>
      <c r="BS37" s="234">
        <v>3.832014</v>
      </c>
      <c r="BT37" s="234">
        <v>3.8669030000000002</v>
      </c>
      <c r="BU37" s="234">
        <v>4.0185370000000002</v>
      </c>
      <c r="BV37" s="234">
        <v>3.8499059999999998</v>
      </c>
      <c r="BW37" s="234">
        <v>3.84795</v>
      </c>
      <c r="BX37" s="234">
        <v>3.8781780000000001</v>
      </c>
      <c r="BY37" s="234">
        <v>3.9085890000000001</v>
      </c>
      <c r="BZ37" s="234">
        <v>3.893573</v>
      </c>
      <c r="CA37" s="234">
        <v>0.42449700000000001</v>
      </c>
      <c r="CB37" s="234">
        <v>0.42593399999999998</v>
      </c>
      <c r="CC37" s="234">
        <v>0.42275099999999999</v>
      </c>
      <c r="CD37" s="234">
        <v>0.45199899999999998</v>
      </c>
      <c r="CE37" s="234">
        <v>0.44551400000000002</v>
      </c>
      <c r="CF37" s="234">
        <v>0.423981</v>
      </c>
      <c r="CG37" s="234">
        <v>0.424599</v>
      </c>
      <c r="CH37" s="234">
        <v>0.42394399999999999</v>
      </c>
      <c r="CI37" s="234">
        <v>1.3962190000000001</v>
      </c>
      <c r="CJ37" s="234">
        <v>1.4349499999999999</v>
      </c>
      <c r="CK37" s="234">
        <v>1.4503410000000001</v>
      </c>
      <c r="CL37" s="234">
        <v>1.396352</v>
      </c>
      <c r="CM37" s="234">
        <v>1.4151450000000001</v>
      </c>
      <c r="CN37" s="234">
        <v>1.4341809999999999</v>
      </c>
      <c r="CO37" s="234">
        <v>1.4887319999999999</v>
      </c>
      <c r="CP37" s="234">
        <v>1.4244969999999999</v>
      </c>
      <c r="CQ37" s="234">
        <v>1.418825</v>
      </c>
      <c r="CR37" s="234">
        <v>1.4342630000000001</v>
      </c>
      <c r="CS37" s="234">
        <v>1.450474</v>
      </c>
      <c r="CT37" s="234">
        <v>1.4422010000000001</v>
      </c>
      <c r="CU37" s="234">
        <v>2.8124889999999998</v>
      </c>
      <c r="CV37" s="234">
        <v>2.8148170000000001</v>
      </c>
      <c r="CW37" s="234">
        <v>3.0886879999999999</v>
      </c>
      <c r="CX37" s="234">
        <v>2.8065410000000002</v>
      </c>
      <c r="CY37" s="234">
        <v>2.936871</v>
      </c>
      <c r="CZ37" s="234">
        <v>2.9864160000000002</v>
      </c>
      <c r="DA37" s="234">
        <v>3.1220430000000001</v>
      </c>
      <c r="DB37" s="234">
        <v>2.800837</v>
      </c>
      <c r="DC37" s="234">
        <v>0</v>
      </c>
      <c r="DD37" s="234">
        <v>0</v>
      </c>
      <c r="DE37" s="234">
        <v>0</v>
      </c>
      <c r="DF37" s="234">
        <v>0</v>
      </c>
      <c r="DG37" s="234">
        <v>0</v>
      </c>
      <c r="DH37" s="234">
        <v>0</v>
      </c>
      <c r="DI37" s="234">
        <v>0</v>
      </c>
      <c r="DJ37" s="234">
        <v>0</v>
      </c>
      <c r="DK37" s="236"/>
      <c r="DL37" s="234">
        <v>20.077500000000001</v>
      </c>
      <c r="DM37" s="234">
        <v>114.2642558581498</v>
      </c>
      <c r="DN37" s="234">
        <v>148.01175522694601</v>
      </c>
      <c r="DO37" s="234">
        <v>159.95861058848362</v>
      </c>
      <c r="DP37" s="234">
        <v>6.9009260000000001</v>
      </c>
      <c r="DQ37" s="234">
        <v>165.11287100769337</v>
      </c>
      <c r="DR37" s="234">
        <v>178.42811975771519</v>
      </c>
      <c r="DS37" s="234">
        <v>5.7709242752797767</v>
      </c>
      <c r="DT37" s="234">
        <v>6.5460391563200311</v>
      </c>
      <c r="DU37" s="237"/>
      <c r="DV37" s="238">
        <v>53304.74</v>
      </c>
      <c r="DW37" s="238">
        <v>4522.68</v>
      </c>
      <c r="DX37" s="238">
        <v>90804.107700000008</v>
      </c>
      <c r="DY37" s="238">
        <v>15582.512000000001</v>
      </c>
      <c r="DZ37" s="238">
        <v>312857.88468000002</v>
      </c>
      <c r="EB37" s="239">
        <v>44439</v>
      </c>
      <c r="EC37" s="239">
        <v>44469</v>
      </c>
    </row>
    <row r="38" spans="1:133" x14ac:dyDescent="0.35">
      <c r="A38" s="233">
        <v>44469</v>
      </c>
      <c r="B38" s="234">
        <v>2.9282439999999998</v>
      </c>
      <c r="C38" s="234">
        <v>3.3669889999999998</v>
      </c>
      <c r="D38" s="234">
        <v>2.9282430000000002</v>
      </c>
      <c r="E38" s="234">
        <v>3.4541499999999998</v>
      </c>
      <c r="F38" s="234">
        <v>3.039053</v>
      </c>
      <c r="G38" s="234">
        <v>2.9833789999999998</v>
      </c>
      <c r="H38" s="234">
        <v>2.9390040000000002</v>
      </c>
      <c r="I38" s="234">
        <v>2.994291</v>
      </c>
      <c r="J38" s="234">
        <v>2.555517</v>
      </c>
      <c r="K38" s="234">
        <v>2.6916880000000001</v>
      </c>
      <c r="L38" s="234">
        <v>4.9643680000000003</v>
      </c>
      <c r="M38" s="234">
        <v>0</v>
      </c>
      <c r="N38" s="234">
        <v>5.7582890000000004</v>
      </c>
      <c r="O38" s="234">
        <v>5.8395630000000001</v>
      </c>
      <c r="P38" s="234">
        <v>4.9643639999999998</v>
      </c>
      <c r="Q38" s="234">
        <v>5.9574980000000002</v>
      </c>
      <c r="R38" s="234">
        <v>5.2010180000000004</v>
      </c>
      <c r="S38" s="234">
        <v>5.1518030000000001</v>
      </c>
      <c r="T38" s="234">
        <v>5.4135140000000002</v>
      </c>
      <c r="U38" s="234">
        <v>5.4440970000000002</v>
      </c>
      <c r="V38" s="234">
        <v>5.603027</v>
      </c>
      <c r="W38" s="234">
        <v>0.64553000000000005</v>
      </c>
      <c r="X38" s="234">
        <v>0.79272600000000004</v>
      </c>
      <c r="Y38" s="234">
        <v>0.82292399999999999</v>
      </c>
      <c r="Z38" s="234">
        <v>0.64553099999999997</v>
      </c>
      <c r="AA38" s="234">
        <v>0.701067</v>
      </c>
      <c r="AB38" s="234">
        <v>0.82824799999999998</v>
      </c>
      <c r="AC38" s="234">
        <v>0.68895099999999998</v>
      </c>
      <c r="AD38" s="234">
        <v>0.67962299999999998</v>
      </c>
      <c r="AE38" s="234">
        <v>0.68821399999999999</v>
      </c>
      <c r="AF38" s="234">
        <v>0.77378899999999995</v>
      </c>
      <c r="AG38" s="234">
        <v>0.71371700000000005</v>
      </c>
      <c r="AH38" s="234">
        <v>1.081358</v>
      </c>
      <c r="AI38" s="234">
        <v>1.1843170000000001</v>
      </c>
      <c r="AJ38" s="234">
        <v>1.0810930000000001</v>
      </c>
      <c r="AK38" s="234">
        <v>1.232073</v>
      </c>
      <c r="AL38" s="234">
        <v>1.115353</v>
      </c>
      <c r="AM38" s="234">
        <v>1.0811409999999999</v>
      </c>
      <c r="AN38" s="234">
        <v>1.096031</v>
      </c>
      <c r="AO38" s="234">
        <v>1.096058</v>
      </c>
      <c r="AP38" s="234">
        <v>1.3063499999999999</v>
      </c>
      <c r="AQ38" s="234">
        <v>1.3030269999999999</v>
      </c>
      <c r="AR38" s="234">
        <v>1.225827</v>
      </c>
      <c r="AS38" s="234">
        <v>1.3063439999999999</v>
      </c>
      <c r="AT38" s="234">
        <v>1.349356</v>
      </c>
      <c r="AU38" s="234">
        <v>1.2651619999999999</v>
      </c>
      <c r="AV38" s="234">
        <v>1.3368</v>
      </c>
      <c r="AW38" s="234">
        <v>1.2841260000000001</v>
      </c>
      <c r="AX38" s="234">
        <v>1.2530870000000001</v>
      </c>
      <c r="AY38" s="234">
        <v>1.3756889999999999</v>
      </c>
      <c r="AZ38" s="234">
        <v>1.2605040000000001</v>
      </c>
      <c r="BA38" s="234">
        <v>1.287973</v>
      </c>
      <c r="BB38" s="235"/>
      <c r="BC38" s="234">
        <v>1.2939579999999999</v>
      </c>
      <c r="BD38" s="234">
        <v>1.344293</v>
      </c>
      <c r="BE38" s="234">
        <v>1.3585020000000001</v>
      </c>
      <c r="BF38" s="234">
        <v>1.2941</v>
      </c>
      <c r="BG38" s="234">
        <v>1.311944</v>
      </c>
      <c r="BH38" s="234">
        <v>1.329548</v>
      </c>
      <c r="BI38" s="234">
        <v>1.3955420000000001</v>
      </c>
      <c r="BJ38" s="234">
        <v>1.320608</v>
      </c>
      <c r="BK38" s="234">
        <v>1.3146169999999999</v>
      </c>
      <c r="BL38" s="234">
        <v>1.3299570000000001</v>
      </c>
      <c r="BM38" s="234">
        <v>1.345458</v>
      </c>
      <c r="BN38" s="234">
        <v>1.3376809999999999</v>
      </c>
      <c r="BO38" s="234">
        <v>3.7649490000000001</v>
      </c>
      <c r="BP38" s="234">
        <v>4.0960900000000002</v>
      </c>
      <c r="BQ38" s="234">
        <v>4.1333279999999997</v>
      </c>
      <c r="BR38" s="234">
        <v>3.7641300000000002</v>
      </c>
      <c r="BS38" s="234">
        <v>3.8010570000000001</v>
      </c>
      <c r="BT38" s="234">
        <v>3.836589</v>
      </c>
      <c r="BU38" s="234">
        <v>3.9913759999999998</v>
      </c>
      <c r="BV38" s="234">
        <v>3.819283</v>
      </c>
      <c r="BW38" s="234">
        <v>3.8173409999999999</v>
      </c>
      <c r="BX38" s="234">
        <v>3.848109</v>
      </c>
      <c r="BY38" s="234">
        <v>3.8791060000000002</v>
      </c>
      <c r="BZ38" s="234">
        <v>3.8638089999999998</v>
      </c>
      <c r="CA38" s="234">
        <v>0.41607100000000002</v>
      </c>
      <c r="CB38" s="234">
        <v>0.41750999999999999</v>
      </c>
      <c r="CC38" s="234">
        <v>0.41425000000000001</v>
      </c>
      <c r="CD38" s="234">
        <v>0.44379999999999997</v>
      </c>
      <c r="CE38" s="234">
        <v>0.43720100000000001</v>
      </c>
      <c r="CF38" s="234">
        <v>0.41548600000000002</v>
      </c>
      <c r="CG38" s="234">
        <v>0.41617100000000001</v>
      </c>
      <c r="CH38" s="234">
        <v>0.41545300000000002</v>
      </c>
      <c r="CI38" s="234">
        <v>1.3831549999999999</v>
      </c>
      <c r="CJ38" s="234">
        <v>1.4223980000000001</v>
      </c>
      <c r="CK38" s="234">
        <v>1.438015</v>
      </c>
      <c r="CL38" s="234">
        <v>1.3832869999999999</v>
      </c>
      <c r="CM38" s="234">
        <v>1.4022589999999999</v>
      </c>
      <c r="CN38" s="234">
        <v>1.421481</v>
      </c>
      <c r="CO38" s="234">
        <v>1.4771019999999999</v>
      </c>
      <c r="CP38" s="234">
        <v>1.4117040000000001</v>
      </c>
      <c r="CQ38" s="234">
        <v>1.4060809999999999</v>
      </c>
      <c r="CR38" s="234">
        <v>1.421683</v>
      </c>
      <c r="CS38" s="234">
        <v>1.438062</v>
      </c>
      <c r="CT38" s="234">
        <v>1.4297070000000001</v>
      </c>
      <c r="CU38" s="234">
        <v>2.7253189999999998</v>
      </c>
      <c r="CV38" s="234">
        <v>2.7278440000000002</v>
      </c>
      <c r="CW38" s="234">
        <v>3.0005030000000001</v>
      </c>
      <c r="CX38" s="234">
        <v>2.7195170000000002</v>
      </c>
      <c r="CY38" s="234">
        <v>2.8492540000000002</v>
      </c>
      <c r="CZ38" s="234">
        <v>2.8986360000000002</v>
      </c>
      <c r="DA38" s="234">
        <v>3.0341269999999998</v>
      </c>
      <c r="DB38" s="234">
        <v>2.7137190000000002</v>
      </c>
      <c r="DC38" s="234">
        <v>0</v>
      </c>
      <c r="DD38" s="234">
        <v>0</v>
      </c>
      <c r="DE38" s="234">
        <v>0</v>
      </c>
      <c r="DF38" s="234">
        <v>0</v>
      </c>
      <c r="DG38" s="234">
        <v>0</v>
      </c>
      <c r="DH38" s="234">
        <v>0</v>
      </c>
      <c r="DI38" s="234">
        <v>0</v>
      </c>
      <c r="DJ38" s="234">
        <v>0</v>
      </c>
      <c r="DK38" s="236"/>
      <c r="DL38" s="234">
        <v>20.626000000000001</v>
      </c>
      <c r="DM38" s="234">
        <v>114.3775679118758</v>
      </c>
      <c r="DN38" s="234">
        <v>148.34354824491308</v>
      </c>
      <c r="DO38" s="234">
        <v>160.44648435077849</v>
      </c>
      <c r="DP38" s="234">
        <v>6.922358</v>
      </c>
      <c r="DQ38" s="234">
        <v>165.63297655136759</v>
      </c>
      <c r="DR38" s="234">
        <v>179.13439773175614</v>
      </c>
      <c r="DS38" s="234">
        <v>5.7883332301768711</v>
      </c>
      <c r="DT38" s="234">
        <v>6.5710777560929552</v>
      </c>
      <c r="DU38" s="237"/>
      <c r="DV38" s="238">
        <v>51385.55</v>
      </c>
      <c r="DW38" s="238">
        <v>4307.54</v>
      </c>
      <c r="DX38" s="238">
        <v>88847.320040000006</v>
      </c>
      <c r="DY38" s="238">
        <v>14689.616</v>
      </c>
      <c r="DZ38" s="238">
        <v>302988.01961600001</v>
      </c>
      <c r="EB38" s="239">
        <v>44469</v>
      </c>
      <c r="EC38" s="239">
        <v>44498</v>
      </c>
    </row>
    <row r="39" spans="1:133" x14ac:dyDescent="0.35">
      <c r="A39" s="233">
        <v>44498</v>
      </c>
      <c r="B39" s="234">
        <v>2.9358379999999999</v>
      </c>
      <c r="C39" s="234">
        <v>3.3801429999999999</v>
      </c>
      <c r="D39" s="234">
        <v>2.9358360000000001</v>
      </c>
      <c r="E39" s="234">
        <v>3.470037</v>
      </c>
      <c r="F39" s="234">
        <v>3.0500289999999999</v>
      </c>
      <c r="G39" s="234">
        <v>2.9929489999999999</v>
      </c>
      <c r="H39" s="234">
        <v>2.946634</v>
      </c>
      <c r="I39" s="234">
        <v>3.0039259999999999</v>
      </c>
      <c r="J39" s="234">
        <v>2.5602990000000001</v>
      </c>
      <c r="K39" s="234">
        <v>2.6992449999999999</v>
      </c>
      <c r="L39" s="234">
        <v>4.973236</v>
      </c>
      <c r="M39" s="234">
        <v>0</v>
      </c>
      <c r="N39" s="234">
        <v>5.7738779999999998</v>
      </c>
      <c r="O39" s="234">
        <v>5.8625879999999997</v>
      </c>
      <c r="P39" s="234">
        <v>4.9732320000000003</v>
      </c>
      <c r="Q39" s="234">
        <v>5.982151</v>
      </c>
      <c r="R39" s="234">
        <v>5.2169509999999999</v>
      </c>
      <c r="S39" s="234">
        <v>5.1657510000000002</v>
      </c>
      <c r="T39" s="234">
        <v>5.4276090000000003</v>
      </c>
      <c r="U39" s="234">
        <v>5.4609880000000004</v>
      </c>
      <c r="V39" s="234">
        <v>5.6223340000000004</v>
      </c>
      <c r="W39" s="234">
        <v>0.64641800000000005</v>
      </c>
      <c r="X39" s="234">
        <v>0.79506600000000005</v>
      </c>
      <c r="Y39" s="234">
        <v>0.82555699999999999</v>
      </c>
      <c r="Z39" s="234">
        <v>0.64641899999999997</v>
      </c>
      <c r="AA39" s="234">
        <v>0.70242499999999997</v>
      </c>
      <c r="AB39" s="234">
        <v>0.83167599999999997</v>
      </c>
      <c r="AC39" s="234">
        <v>0.69112600000000002</v>
      </c>
      <c r="AD39" s="234">
        <v>0.68159599999999998</v>
      </c>
      <c r="AE39" s="234">
        <v>0.68936600000000003</v>
      </c>
      <c r="AF39" s="234">
        <v>0.775725</v>
      </c>
      <c r="AG39" s="234">
        <v>0.71569700000000003</v>
      </c>
      <c r="AH39" s="234">
        <v>1.077693</v>
      </c>
      <c r="AI39" s="234">
        <v>1.180534</v>
      </c>
      <c r="AJ39" s="234">
        <v>1.077429</v>
      </c>
      <c r="AK39" s="234">
        <v>1.2294050000000001</v>
      </c>
      <c r="AL39" s="234">
        <v>1.112511</v>
      </c>
      <c r="AM39" s="234">
        <v>1.077477</v>
      </c>
      <c r="AN39" s="234">
        <v>1.09232</v>
      </c>
      <c r="AO39" s="234">
        <v>1.0923499999999999</v>
      </c>
      <c r="AP39" s="234">
        <v>1.309606</v>
      </c>
      <c r="AQ39" s="234">
        <v>1.307542</v>
      </c>
      <c r="AR39" s="234">
        <v>1.2282189999999999</v>
      </c>
      <c r="AS39" s="234">
        <v>1.3096000000000001</v>
      </c>
      <c r="AT39" s="234">
        <v>1.3530850000000001</v>
      </c>
      <c r="AU39" s="234">
        <v>1.2679739999999999</v>
      </c>
      <c r="AV39" s="234">
        <v>1.3423560000000001</v>
      </c>
      <c r="AW39" s="234">
        <v>1.2882629999999999</v>
      </c>
      <c r="AX39" s="234">
        <v>1.256381</v>
      </c>
      <c r="AY39" s="234">
        <v>1.380336</v>
      </c>
      <c r="AZ39" s="234">
        <v>1.263924</v>
      </c>
      <c r="BA39" s="234">
        <v>1.2923169999999999</v>
      </c>
      <c r="BB39" s="235"/>
      <c r="BC39" s="234">
        <v>1.321888</v>
      </c>
      <c r="BD39" s="234">
        <v>1.374385</v>
      </c>
      <c r="BE39" s="234">
        <v>1.3892599999999999</v>
      </c>
      <c r="BF39" s="234">
        <v>1.322033</v>
      </c>
      <c r="BG39" s="234">
        <v>1.3406149999999999</v>
      </c>
      <c r="BH39" s="234">
        <v>1.358948</v>
      </c>
      <c r="BI39" s="234">
        <v>1.4282919999999999</v>
      </c>
      <c r="BJ39" s="234">
        <v>1.3496319999999999</v>
      </c>
      <c r="BK39" s="234">
        <v>1.3435060000000001</v>
      </c>
      <c r="BL39" s="234">
        <v>1.3594820000000001</v>
      </c>
      <c r="BM39" s="234">
        <v>1.3756379999999999</v>
      </c>
      <c r="BN39" s="234">
        <v>1.3675349999999999</v>
      </c>
      <c r="BO39" s="234">
        <v>3.92089</v>
      </c>
      <c r="BP39" s="234">
        <v>4.2678409999999998</v>
      </c>
      <c r="BQ39" s="234">
        <v>4.3076809999999996</v>
      </c>
      <c r="BR39" s="234">
        <v>3.9200370000000002</v>
      </c>
      <c r="BS39" s="234">
        <v>3.9595159999999998</v>
      </c>
      <c r="BT39" s="234">
        <v>3.997522</v>
      </c>
      <c r="BU39" s="234">
        <v>4.1634729999999998</v>
      </c>
      <c r="BV39" s="234">
        <v>3.9790160000000001</v>
      </c>
      <c r="BW39" s="234">
        <v>3.9769929999999998</v>
      </c>
      <c r="BX39" s="234">
        <v>4.0098839999999996</v>
      </c>
      <c r="BY39" s="234">
        <v>4.043069</v>
      </c>
      <c r="BZ39" s="234">
        <v>4.0266859999999998</v>
      </c>
      <c r="CA39" s="234">
        <v>0.44082900000000003</v>
      </c>
      <c r="CB39" s="234">
        <v>0.44239200000000001</v>
      </c>
      <c r="CC39" s="234">
        <v>0.43889800000000001</v>
      </c>
      <c r="CD39" s="234">
        <v>0.471053</v>
      </c>
      <c r="CE39" s="234">
        <v>0.46392600000000001</v>
      </c>
      <c r="CF39" s="234">
        <v>0.44024000000000002</v>
      </c>
      <c r="CG39" s="234">
        <v>0.44093399999999999</v>
      </c>
      <c r="CH39" s="234">
        <v>0.44021199999999999</v>
      </c>
      <c r="CI39" s="234">
        <v>1.4294439999999999</v>
      </c>
      <c r="CJ39" s="234">
        <v>1.4709049999999999</v>
      </c>
      <c r="CK39" s="234">
        <v>1.4874419999999999</v>
      </c>
      <c r="CL39" s="234">
        <v>1.4295800000000001</v>
      </c>
      <c r="CM39" s="234">
        <v>1.449565</v>
      </c>
      <c r="CN39" s="234">
        <v>1.469819</v>
      </c>
      <c r="CO39" s="234">
        <v>1.528993</v>
      </c>
      <c r="CP39" s="234">
        <v>1.459519</v>
      </c>
      <c r="CQ39" s="234">
        <v>1.4537040000000001</v>
      </c>
      <c r="CR39" s="234">
        <v>1.470159</v>
      </c>
      <c r="CS39" s="234">
        <v>1.4874270000000001</v>
      </c>
      <c r="CT39" s="234">
        <v>1.4786220000000001</v>
      </c>
      <c r="CU39" s="234">
        <v>2.7258399999999998</v>
      </c>
      <c r="CV39" s="234">
        <v>2.7286199999999998</v>
      </c>
      <c r="CW39" s="234">
        <v>3.009134</v>
      </c>
      <c r="CX39" s="234">
        <v>2.72018</v>
      </c>
      <c r="CY39" s="234">
        <v>2.853313</v>
      </c>
      <c r="CZ39" s="234">
        <v>2.9043519999999998</v>
      </c>
      <c r="DA39" s="234">
        <v>3.0438190000000001</v>
      </c>
      <c r="DB39" s="234">
        <v>2.7141350000000002</v>
      </c>
      <c r="DC39" s="234">
        <v>0</v>
      </c>
      <c r="DD39" s="234">
        <v>0</v>
      </c>
      <c r="DE39" s="234">
        <v>0</v>
      </c>
      <c r="DF39" s="234">
        <v>0</v>
      </c>
      <c r="DG39" s="234">
        <v>0</v>
      </c>
      <c r="DH39" s="234">
        <v>0</v>
      </c>
      <c r="DI39" s="234">
        <v>0</v>
      </c>
      <c r="DJ39" s="234">
        <v>0</v>
      </c>
      <c r="DK39" s="236"/>
      <c r="DL39" s="234">
        <v>20.581</v>
      </c>
      <c r="DM39" s="234">
        <v>114.48721151933799</v>
      </c>
      <c r="DN39" s="234">
        <v>148.6650004726516</v>
      </c>
      <c r="DO39" s="234">
        <v>160.91953406880603</v>
      </c>
      <c r="DP39" s="234">
        <v>6.9655449999999997</v>
      </c>
      <c r="DQ39" s="234">
        <v>166.16801707478865</v>
      </c>
      <c r="DR39" s="234">
        <v>179.85302522399004</v>
      </c>
      <c r="DS39" s="234">
        <v>5.8063783590219478</v>
      </c>
      <c r="DT39" s="234">
        <v>6.5966976581442109</v>
      </c>
      <c r="DU39" s="237"/>
      <c r="DV39" s="238">
        <v>51309.84</v>
      </c>
      <c r="DW39" s="238">
        <v>4605.38</v>
      </c>
      <c r="DX39" s="238">
        <v>94783.325779999999</v>
      </c>
      <c r="DY39" s="238">
        <v>15850.472</v>
      </c>
      <c r="DZ39" s="238">
        <v>326218.56423199998</v>
      </c>
      <c r="EB39" s="239">
        <v>44498</v>
      </c>
      <c r="EC39" s="239">
        <v>44530</v>
      </c>
    </row>
    <row r="40" spans="1:133" x14ac:dyDescent="0.35">
      <c r="A40" s="233">
        <v>44530</v>
      </c>
      <c r="B40" s="234">
        <v>2.9353729999999998</v>
      </c>
      <c r="C40" s="234">
        <v>3.3838949999999999</v>
      </c>
      <c r="D40" s="234">
        <v>2.9353720000000001</v>
      </c>
      <c r="E40" s="234">
        <v>3.4762089999999999</v>
      </c>
      <c r="F40" s="234">
        <v>3.0525470000000001</v>
      </c>
      <c r="G40" s="234">
        <v>2.994243</v>
      </c>
      <c r="H40" s="234">
        <v>2.9461759999999999</v>
      </c>
      <c r="I40" s="234">
        <v>3.0052530000000002</v>
      </c>
      <c r="J40" s="234">
        <v>2.5648230000000001</v>
      </c>
      <c r="K40" s="234">
        <v>2.706461</v>
      </c>
      <c r="L40" s="234">
        <v>4.9824390000000003</v>
      </c>
      <c r="M40" s="234">
        <v>0</v>
      </c>
      <c r="N40" s="234">
        <v>5.7896960000000002</v>
      </c>
      <c r="O40" s="234">
        <v>5.8856580000000003</v>
      </c>
      <c r="P40" s="234">
        <v>4.9824359999999999</v>
      </c>
      <c r="Q40" s="234">
        <v>6.0068339999999996</v>
      </c>
      <c r="R40" s="234">
        <v>5.2330589999999999</v>
      </c>
      <c r="S40" s="234">
        <v>5.1799030000000004</v>
      </c>
      <c r="T40" s="234">
        <v>5.4419490000000001</v>
      </c>
      <c r="U40" s="234">
        <v>5.4780559999999996</v>
      </c>
      <c r="V40" s="234">
        <v>5.6417299999999999</v>
      </c>
      <c r="W40" s="234">
        <v>0.64734899999999995</v>
      </c>
      <c r="X40" s="234">
        <v>0.79742599999999997</v>
      </c>
      <c r="Y40" s="234">
        <v>0.82820499999999997</v>
      </c>
      <c r="Z40" s="234">
        <v>0.64734899999999995</v>
      </c>
      <c r="AA40" s="234">
        <v>0.70381700000000003</v>
      </c>
      <c r="AB40" s="234">
        <v>0.83509999999999995</v>
      </c>
      <c r="AC40" s="234">
        <v>0.69331399999999999</v>
      </c>
      <c r="AD40" s="234">
        <v>0.68357599999999996</v>
      </c>
      <c r="AE40" s="234">
        <v>0.69055800000000001</v>
      </c>
      <c r="AF40" s="234">
        <v>0.77768800000000005</v>
      </c>
      <c r="AG40" s="234">
        <v>0.71769300000000003</v>
      </c>
      <c r="AH40" s="234">
        <v>1.1229499999999999</v>
      </c>
      <c r="AI40" s="234">
        <v>1.2303230000000001</v>
      </c>
      <c r="AJ40" s="234">
        <v>1.1226750000000001</v>
      </c>
      <c r="AK40" s="234">
        <v>1.2825359999999999</v>
      </c>
      <c r="AL40" s="234">
        <v>1.1601760000000001</v>
      </c>
      <c r="AM40" s="234">
        <v>1.122727</v>
      </c>
      <c r="AN40" s="234">
        <v>1.138193</v>
      </c>
      <c r="AO40" s="234">
        <v>1.1382289999999999</v>
      </c>
      <c r="AP40" s="234">
        <v>1.312929</v>
      </c>
      <c r="AQ40" s="234">
        <v>1.312087</v>
      </c>
      <c r="AR40" s="234">
        <v>1.230691</v>
      </c>
      <c r="AS40" s="234">
        <v>1.3129230000000001</v>
      </c>
      <c r="AT40" s="234">
        <v>1.3568709999999999</v>
      </c>
      <c r="AU40" s="234">
        <v>1.270858</v>
      </c>
      <c r="AV40" s="234">
        <v>1.34792</v>
      </c>
      <c r="AW40" s="234">
        <v>1.29244</v>
      </c>
      <c r="AX40" s="234">
        <v>1.259714</v>
      </c>
      <c r="AY40" s="234">
        <v>1.3850020000000001</v>
      </c>
      <c r="AZ40" s="234">
        <v>1.267401</v>
      </c>
      <c r="BA40" s="234">
        <v>1.2966759999999999</v>
      </c>
      <c r="BB40" s="235"/>
      <c r="BC40" s="234">
        <v>1.339197</v>
      </c>
      <c r="BD40" s="234">
        <v>1.393432</v>
      </c>
      <c r="BE40" s="234">
        <v>1.408846</v>
      </c>
      <c r="BF40" s="234">
        <v>1.339345</v>
      </c>
      <c r="BG40" s="234">
        <v>1.358517</v>
      </c>
      <c r="BH40" s="234">
        <v>1.377432</v>
      </c>
      <c r="BI40" s="234">
        <v>1.449578</v>
      </c>
      <c r="BJ40" s="234">
        <v>1.367815</v>
      </c>
      <c r="BK40" s="234">
        <v>1.361604</v>
      </c>
      <c r="BL40" s="234">
        <v>1.378088</v>
      </c>
      <c r="BM40" s="234">
        <v>1.3947700000000001</v>
      </c>
      <c r="BN40" s="234">
        <v>1.386406</v>
      </c>
      <c r="BO40" s="234">
        <v>4.0340600000000002</v>
      </c>
      <c r="BP40" s="234">
        <v>4.393084</v>
      </c>
      <c r="BQ40" s="234">
        <v>4.4351459999999996</v>
      </c>
      <c r="BR40" s="234">
        <v>4.0331830000000002</v>
      </c>
      <c r="BS40" s="234">
        <v>4.074821</v>
      </c>
      <c r="BT40" s="234">
        <v>4.1149230000000001</v>
      </c>
      <c r="BU40" s="234">
        <v>4.2904049999999998</v>
      </c>
      <c r="BV40" s="234">
        <v>4.0954009999999998</v>
      </c>
      <c r="BW40" s="234">
        <v>4.0933169999999999</v>
      </c>
      <c r="BX40" s="234">
        <v>4.1280039999999998</v>
      </c>
      <c r="BY40" s="234">
        <v>4.1630479999999999</v>
      </c>
      <c r="BZ40" s="234">
        <v>4.1457329999999999</v>
      </c>
      <c r="CA40" s="234">
        <v>0.45413199999999998</v>
      </c>
      <c r="CB40" s="234">
        <v>0.45577000000000001</v>
      </c>
      <c r="CC40" s="234">
        <v>0.45214300000000002</v>
      </c>
      <c r="CD40" s="234">
        <v>0.48611100000000002</v>
      </c>
      <c r="CE40" s="234">
        <v>0.47863499999999998</v>
      </c>
      <c r="CF40" s="234">
        <v>0.45355600000000001</v>
      </c>
      <c r="CG40" s="234">
        <v>0.45424100000000001</v>
      </c>
      <c r="CH40" s="234">
        <v>0.45352300000000001</v>
      </c>
      <c r="CI40" s="234">
        <v>1.4570320000000001</v>
      </c>
      <c r="CJ40" s="234">
        <v>1.5001800000000001</v>
      </c>
      <c r="CK40" s="234">
        <v>1.517423</v>
      </c>
      <c r="CL40" s="234">
        <v>1.457171</v>
      </c>
      <c r="CM40" s="234">
        <v>1.4779150000000001</v>
      </c>
      <c r="CN40" s="234">
        <v>1.4989440000000001</v>
      </c>
      <c r="CO40" s="234">
        <v>1.560932</v>
      </c>
      <c r="CP40" s="234">
        <v>1.4882519999999999</v>
      </c>
      <c r="CQ40" s="234">
        <v>1.4823200000000001</v>
      </c>
      <c r="CR40" s="234">
        <v>1.49942</v>
      </c>
      <c r="CS40" s="234">
        <v>1.517358</v>
      </c>
      <c r="CT40" s="234">
        <v>1.5082150000000001</v>
      </c>
      <c r="CU40" s="234">
        <v>2.6642229999999998</v>
      </c>
      <c r="CV40" s="234">
        <v>2.6671710000000002</v>
      </c>
      <c r="CW40" s="234">
        <v>2.9479510000000002</v>
      </c>
      <c r="CX40" s="234">
        <v>2.6581079999999999</v>
      </c>
      <c r="CY40" s="234">
        <v>2.7921490000000002</v>
      </c>
      <c r="CZ40" s="234">
        <v>2.8428019999999998</v>
      </c>
      <c r="DA40" s="234">
        <v>2.9836800000000001</v>
      </c>
      <c r="DB40" s="234">
        <v>2.6519629999999998</v>
      </c>
      <c r="DC40" s="234">
        <v>0</v>
      </c>
      <c r="DD40" s="234">
        <v>0</v>
      </c>
      <c r="DE40" s="234">
        <v>0</v>
      </c>
      <c r="DF40" s="234">
        <v>0</v>
      </c>
      <c r="DG40" s="234">
        <v>0</v>
      </c>
      <c r="DH40" s="234">
        <v>0</v>
      </c>
      <c r="DI40" s="234">
        <v>0</v>
      </c>
      <c r="DJ40" s="234">
        <v>0</v>
      </c>
      <c r="DK40" s="236"/>
      <c r="DL40" s="234">
        <v>21.4681</v>
      </c>
      <c r="DM40" s="234">
        <v>114.62256084495641</v>
      </c>
      <c r="DN40" s="234">
        <v>149.06936927393721</v>
      </c>
      <c r="DO40" s="234">
        <v>161.49598359973695</v>
      </c>
      <c r="DP40" s="234">
        <v>7.0366929999999996</v>
      </c>
      <c r="DQ40" s="234">
        <v>166.7824694757052</v>
      </c>
      <c r="DR40" s="234">
        <v>180.67315501901143</v>
      </c>
      <c r="DS40" s="234">
        <v>5.8274774476723312</v>
      </c>
      <c r="DT40" s="234">
        <v>6.6263564108152275</v>
      </c>
      <c r="DU40" s="237"/>
      <c r="DV40" s="238">
        <v>49698.720000000001</v>
      </c>
      <c r="DW40" s="238">
        <v>4567</v>
      </c>
      <c r="DX40" s="238">
        <v>98044.812699999995</v>
      </c>
      <c r="DY40" s="238">
        <v>16135.92</v>
      </c>
      <c r="DZ40" s="238">
        <v>346407.54415199999</v>
      </c>
      <c r="EB40" s="239">
        <v>44530</v>
      </c>
      <c r="EC40" s="239">
        <v>44561</v>
      </c>
    </row>
    <row r="41" spans="1:133" x14ac:dyDescent="0.35">
      <c r="A41" s="233">
        <v>44561</v>
      </c>
      <c r="B41" s="234">
        <v>2.956531</v>
      </c>
      <c r="C41" s="234">
        <v>3.4129200000000002</v>
      </c>
      <c r="D41" s="234">
        <v>2.9565299999999999</v>
      </c>
      <c r="E41" s="234">
        <v>3.5085999999999999</v>
      </c>
      <c r="F41" s="234">
        <v>3.0778759999999998</v>
      </c>
      <c r="G41" s="234">
        <v>3.017693</v>
      </c>
      <c r="H41" s="234">
        <v>2.9674209999999999</v>
      </c>
      <c r="I41" s="234">
        <v>3.0288119999999998</v>
      </c>
      <c r="J41" s="234">
        <v>2.5706030000000002</v>
      </c>
      <c r="K41" s="234">
        <v>2.715112</v>
      </c>
      <c r="L41" s="234">
        <v>4.9939299999999998</v>
      </c>
      <c r="M41" s="234">
        <v>0</v>
      </c>
      <c r="N41" s="234">
        <v>5.8082739999999999</v>
      </c>
      <c r="O41" s="234">
        <v>5.9122899999999996</v>
      </c>
      <c r="P41" s="234">
        <v>4.9939260000000001</v>
      </c>
      <c r="Q41" s="234">
        <v>6.0352769999999998</v>
      </c>
      <c r="R41" s="234">
        <v>5.2522380000000002</v>
      </c>
      <c r="S41" s="234">
        <v>5.1965240000000001</v>
      </c>
      <c r="T41" s="234">
        <v>5.4592090000000004</v>
      </c>
      <c r="U41" s="234">
        <v>5.4983440000000003</v>
      </c>
      <c r="V41" s="234">
        <v>5.664256</v>
      </c>
      <c r="W41" s="234">
        <v>0.64856999999999998</v>
      </c>
      <c r="X41" s="234">
        <v>0.80022000000000004</v>
      </c>
      <c r="Y41" s="234">
        <v>0.83132399999999995</v>
      </c>
      <c r="Z41" s="234">
        <v>0.64856999999999998</v>
      </c>
      <c r="AA41" s="234">
        <v>0.70556099999999999</v>
      </c>
      <c r="AB41" s="234">
        <v>0.83908199999999999</v>
      </c>
      <c r="AC41" s="234">
        <v>0.69593700000000003</v>
      </c>
      <c r="AD41" s="234">
        <v>0.68591899999999995</v>
      </c>
      <c r="AE41" s="234">
        <v>0.69207799999999997</v>
      </c>
      <c r="AF41" s="234">
        <v>0.78008100000000002</v>
      </c>
      <c r="AG41" s="234">
        <v>0.72006000000000003</v>
      </c>
      <c r="AH41" s="234">
        <v>1.071342</v>
      </c>
      <c r="AI41" s="234">
        <v>1.173962</v>
      </c>
      <c r="AJ41" s="234">
        <v>1.07108</v>
      </c>
      <c r="AK41" s="234">
        <v>1.225133</v>
      </c>
      <c r="AL41" s="234">
        <v>1.1078509999999999</v>
      </c>
      <c r="AM41" s="234">
        <v>1.0711299999999999</v>
      </c>
      <c r="AN41" s="234">
        <v>1.085888</v>
      </c>
      <c r="AO41" s="234">
        <v>1.0859259999999999</v>
      </c>
      <c r="AP41" s="234">
        <v>1.316927</v>
      </c>
      <c r="AQ41" s="234">
        <v>1.317383</v>
      </c>
      <c r="AR41" s="234">
        <v>1.2337309999999999</v>
      </c>
      <c r="AS41" s="234">
        <v>1.316921</v>
      </c>
      <c r="AT41" s="234">
        <v>1.3613919999999999</v>
      </c>
      <c r="AU41" s="234">
        <v>1.2743629999999999</v>
      </c>
      <c r="AV41" s="234">
        <v>1.3543540000000001</v>
      </c>
      <c r="AW41" s="234">
        <v>1.297382</v>
      </c>
      <c r="AX41" s="234">
        <v>1.2636559999999999</v>
      </c>
      <c r="AY41" s="234">
        <v>1.3904449999999999</v>
      </c>
      <c r="AZ41" s="234">
        <v>1.2715609999999999</v>
      </c>
      <c r="BA41" s="234">
        <v>1.3017639999999999</v>
      </c>
      <c r="BB41" s="235"/>
      <c r="BC41" s="234">
        <v>1.337026</v>
      </c>
      <c r="BD41" s="234">
        <v>1.3922859999999999</v>
      </c>
      <c r="BE41" s="234">
        <v>1.4080490000000001</v>
      </c>
      <c r="BF41" s="234">
        <v>1.3371729999999999</v>
      </c>
      <c r="BG41" s="234">
        <v>1.356695</v>
      </c>
      <c r="BH41" s="234">
        <v>1.375955</v>
      </c>
      <c r="BI41" s="234">
        <v>1.450067</v>
      </c>
      <c r="BJ41" s="234">
        <v>1.3661570000000001</v>
      </c>
      <c r="BK41" s="234">
        <v>1.35995</v>
      </c>
      <c r="BL41" s="234">
        <v>1.376744</v>
      </c>
      <c r="BM41" s="234">
        <v>1.3937360000000001</v>
      </c>
      <c r="BN41" s="234">
        <v>1.3852199999999999</v>
      </c>
      <c r="BO41" s="234">
        <v>3.990866</v>
      </c>
      <c r="BP41" s="234">
        <v>4.3482640000000004</v>
      </c>
      <c r="BQ41" s="234">
        <v>4.3910479999999996</v>
      </c>
      <c r="BR41" s="234">
        <v>3.9899969999999998</v>
      </c>
      <c r="BS41" s="234">
        <v>4.0322990000000001</v>
      </c>
      <c r="BT41" s="234">
        <v>4.0730599999999999</v>
      </c>
      <c r="BU41" s="234">
        <v>4.2518339999999997</v>
      </c>
      <c r="BV41" s="234">
        <v>4.0532219999999999</v>
      </c>
      <c r="BW41" s="234">
        <v>4.051158</v>
      </c>
      <c r="BX41" s="234">
        <v>4.0863969999999998</v>
      </c>
      <c r="BY41" s="234">
        <v>4.1220470000000002</v>
      </c>
      <c r="BZ41" s="234">
        <v>4.1044080000000003</v>
      </c>
      <c r="CA41" s="234">
        <v>0.45283099999999998</v>
      </c>
      <c r="CB41" s="234">
        <v>0.45448499999999997</v>
      </c>
      <c r="CC41" s="234">
        <v>0.450714</v>
      </c>
      <c r="CD41" s="234">
        <v>0.48564099999999999</v>
      </c>
      <c r="CE41" s="234">
        <v>0.47789999999999999</v>
      </c>
      <c r="CF41" s="234">
        <v>0.452152</v>
      </c>
      <c r="CG41" s="234">
        <v>0.45293899999999998</v>
      </c>
      <c r="CH41" s="234">
        <v>0.45211299999999999</v>
      </c>
      <c r="CI41" s="234">
        <v>1.452836</v>
      </c>
      <c r="CJ41" s="234">
        <v>1.49681</v>
      </c>
      <c r="CK41" s="234">
        <v>1.5144280000000001</v>
      </c>
      <c r="CL41" s="234">
        <v>1.452974</v>
      </c>
      <c r="CM41" s="234">
        <v>1.4740690000000001</v>
      </c>
      <c r="CN41" s="234">
        <v>1.495458</v>
      </c>
      <c r="CO41" s="234">
        <v>1.5591060000000001</v>
      </c>
      <c r="CP41" s="234">
        <v>1.484585</v>
      </c>
      <c r="CQ41" s="234">
        <v>1.4786649999999999</v>
      </c>
      <c r="CR41" s="234">
        <v>1.4960739999999999</v>
      </c>
      <c r="CS41" s="234">
        <v>1.5143230000000001</v>
      </c>
      <c r="CT41" s="234">
        <v>1.505017</v>
      </c>
      <c r="CU41" s="234">
        <v>2.8245450000000001</v>
      </c>
      <c r="CV41" s="234">
        <v>2.8279459999999998</v>
      </c>
      <c r="CW41" s="234">
        <v>3.133642</v>
      </c>
      <c r="CX41" s="234">
        <v>2.8176450000000002</v>
      </c>
      <c r="CY41" s="234">
        <v>2.9640659999999999</v>
      </c>
      <c r="CZ41" s="234">
        <v>3.018942</v>
      </c>
      <c r="DA41" s="234">
        <v>3.1733220000000002</v>
      </c>
      <c r="DB41" s="234">
        <v>2.810864</v>
      </c>
      <c r="DC41" s="234">
        <v>0</v>
      </c>
      <c r="DD41" s="234">
        <v>0</v>
      </c>
      <c r="DE41" s="234">
        <v>0</v>
      </c>
      <c r="DF41" s="234">
        <v>0</v>
      </c>
      <c r="DG41" s="234">
        <v>0</v>
      </c>
      <c r="DH41" s="234">
        <v>0</v>
      </c>
      <c r="DI41" s="234">
        <v>0</v>
      </c>
      <c r="DJ41" s="234">
        <v>0</v>
      </c>
      <c r="DK41" s="236"/>
      <c r="DL41" s="234">
        <v>20.5075</v>
      </c>
      <c r="DM41" s="234">
        <v>114.7587706547605</v>
      </c>
      <c r="DN41" s="234">
        <v>149.48912377291774</v>
      </c>
      <c r="DO41" s="234">
        <v>162.08562337985776</v>
      </c>
      <c r="DP41" s="234">
        <v>7.1082330000000002</v>
      </c>
      <c r="DQ41" s="234">
        <v>167.42444299779544</v>
      </c>
      <c r="DR41" s="234">
        <v>181.51950837630051</v>
      </c>
      <c r="DS41" s="234">
        <v>5.8493814785287697</v>
      </c>
      <c r="DT41" s="234">
        <v>6.6567980762319694</v>
      </c>
      <c r="DU41" s="237"/>
      <c r="DV41" s="238">
        <v>53272.44</v>
      </c>
      <c r="DW41" s="238">
        <v>4766.18</v>
      </c>
      <c r="DX41" s="238">
        <v>97742.436350000004</v>
      </c>
      <c r="DY41" s="238">
        <v>16320.08</v>
      </c>
      <c r="DZ41" s="238">
        <v>334684.04060000001</v>
      </c>
      <c r="EB41" s="239">
        <v>44561</v>
      </c>
      <c r="EC41" s="239">
        <v>44592</v>
      </c>
    </row>
    <row r="42" spans="1:133" x14ac:dyDescent="0.35">
      <c r="A42" s="233">
        <v>44592</v>
      </c>
      <c r="B42" s="234">
        <v>2.9350830000000001</v>
      </c>
      <c r="C42" s="234">
        <v>3.3899409999999999</v>
      </c>
      <c r="D42" s="234">
        <v>2.9350809999999998</v>
      </c>
      <c r="E42" s="234">
        <v>3.4872260000000002</v>
      </c>
      <c r="F42" s="234">
        <v>3.058373</v>
      </c>
      <c r="G42" s="234">
        <v>2.9959419999999999</v>
      </c>
      <c r="H42" s="234">
        <v>2.9458950000000002</v>
      </c>
      <c r="I42" s="234">
        <v>3.0070190000000001</v>
      </c>
      <c r="J42" s="234">
        <v>2.5780240000000001</v>
      </c>
      <c r="K42" s="234">
        <v>2.7231459999999998</v>
      </c>
      <c r="L42" s="234">
        <v>5.0089730000000001</v>
      </c>
      <c r="M42" s="234">
        <v>0</v>
      </c>
      <c r="N42" s="234">
        <v>5.8261719999999997</v>
      </c>
      <c r="O42" s="234">
        <v>5.9373459999999998</v>
      </c>
      <c r="P42" s="234">
        <v>5.0089689999999996</v>
      </c>
      <c r="Q42" s="234">
        <v>6.0619690000000004</v>
      </c>
      <c r="R42" s="234">
        <v>5.2741499999999997</v>
      </c>
      <c r="S42" s="234">
        <v>5.2125370000000002</v>
      </c>
      <c r="T42" s="234">
        <v>5.4794720000000003</v>
      </c>
      <c r="U42" s="234">
        <v>5.5212979999999998</v>
      </c>
      <c r="V42" s="234">
        <v>5.685632</v>
      </c>
      <c r="W42" s="234">
        <v>0.65025299999999997</v>
      </c>
      <c r="X42" s="234">
        <v>0.802902</v>
      </c>
      <c r="Y42" s="234">
        <v>0.83430300000000002</v>
      </c>
      <c r="Z42" s="234">
        <v>0.650254</v>
      </c>
      <c r="AA42" s="234">
        <v>0.70772199999999996</v>
      </c>
      <c r="AB42" s="234">
        <v>0.84282599999999996</v>
      </c>
      <c r="AC42" s="234">
        <v>0.69887200000000005</v>
      </c>
      <c r="AD42" s="234">
        <v>0.68821399999999999</v>
      </c>
      <c r="AE42" s="234">
        <v>0.69403700000000002</v>
      </c>
      <c r="AF42" s="234">
        <v>0.78283499999999995</v>
      </c>
      <c r="AG42" s="234">
        <v>0.722387</v>
      </c>
      <c r="AH42" s="234">
        <v>1.075866</v>
      </c>
      <c r="AI42" s="234">
        <v>1.178938</v>
      </c>
      <c r="AJ42" s="234">
        <v>1.0756019999999999</v>
      </c>
      <c r="AK42" s="234">
        <v>1.231511</v>
      </c>
      <c r="AL42" s="234">
        <v>1.1134010000000001</v>
      </c>
      <c r="AM42" s="234">
        <v>1.075653</v>
      </c>
      <c r="AN42" s="234">
        <v>1.090473</v>
      </c>
      <c r="AO42" s="234">
        <v>1.0905119999999999</v>
      </c>
      <c r="AP42" s="234">
        <v>1.3216019999999999</v>
      </c>
      <c r="AQ42" s="234">
        <v>1.3224389999999999</v>
      </c>
      <c r="AR42" s="234">
        <v>1.237536</v>
      </c>
      <c r="AS42" s="234">
        <v>1.321596</v>
      </c>
      <c r="AT42" s="234">
        <v>1.3665430000000001</v>
      </c>
      <c r="AU42" s="234">
        <v>1.2785899999999999</v>
      </c>
      <c r="AV42" s="234">
        <v>1.360428</v>
      </c>
      <c r="AW42" s="234">
        <v>1.3028869999999999</v>
      </c>
      <c r="AX42" s="234">
        <v>1.2676179999999999</v>
      </c>
      <c r="AY42" s="234">
        <v>1.395769</v>
      </c>
      <c r="AZ42" s="234">
        <v>1.276367</v>
      </c>
      <c r="BA42" s="234">
        <v>1.3067489999999999</v>
      </c>
      <c r="BB42" s="235"/>
      <c r="BC42" s="234">
        <v>1.314362</v>
      </c>
      <c r="BD42" s="234">
        <v>1.36907</v>
      </c>
      <c r="BE42" s="234">
        <v>1.384889</v>
      </c>
      <c r="BF42" s="234">
        <v>1.314506</v>
      </c>
      <c r="BG42" s="234">
        <v>1.334017</v>
      </c>
      <c r="BH42" s="234">
        <v>1.3532679999999999</v>
      </c>
      <c r="BI42" s="234">
        <v>1.427897</v>
      </c>
      <c r="BJ42" s="234">
        <v>1.3434710000000001</v>
      </c>
      <c r="BK42" s="234">
        <v>1.337367</v>
      </c>
      <c r="BL42" s="234">
        <v>1.354155</v>
      </c>
      <c r="BM42" s="234">
        <v>1.371149</v>
      </c>
      <c r="BN42" s="234">
        <v>1.362633</v>
      </c>
      <c r="BO42" s="234">
        <v>3.8685939999999999</v>
      </c>
      <c r="BP42" s="234">
        <v>4.216132</v>
      </c>
      <c r="BQ42" s="234">
        <v>4.2585899999999999</v>
      </c>
      <c r="BR42" s="234">
        <v>3.8677519999999999</v>
      </c>
      <c r="BS42" s="234">
        <v>3.9096950000000001</v>
      </c>
      <c r="BT42" s="234">
        <v>3.9501279999999999</v>
      </c>
      <c r="BU42" s="234">
        <v>4.1278059999999996</v>
      </c>
      <c r="BV42" s="234">
        <v>3.930453</v>
      </c>
      <c r="BW42" s="234">
        <v>3.9284520000000001</v>
      </c>
      <c r="BX42" s="234">
        <v>3.9633910000000001</v>
      </c>
      <c r="BY42" s="234">
        <v>3.9987789999999999</v>
      </c>
      <c r="BZ42" s="234">
        <v>3.9812690000000002</v>
      </c>
      <c r="CA42" s="234">
        <v>0.43294700000000003</v>
      </c>
      <c r="CB42" s="234">
        <v>0.434531</v>
      </c>
      <c r="CC42" s="234">
        <v>0.43092399999999997</v>
      </c>
      <c r="CD42" s="234">
        <v>0.46506799999999998</v>
      </c>
      <c r="CE42" s="234">
        <v>0.457569</v>
      </c>
      <c r="CF42" s="234">
        <v>0.43230099999999999</v>
      </c>
      <c r="CG42" s="234">
        <v>0.43305100000000002</v>
      </c>
      <c r="CH42" s="234">
        <v>0.43226500000000001</v>
      </c>
      <c r="CI42" s="234">
        <v>1.4173709999999999</v>
      </c>
      <c r="CJ42" s="234">
        <v>1.4606650000000001</v>
      </c>
      <c r="CK42" s="234">
        <v>1.478207</v>
      </c>
      <c r="CL42" s="234">
        <v>1.4175059999999999</v>
      </c>
      <c r="CM42" s="234">
        <v>1.438431</v>
      </c>
      <c r="CN42" s="234">
        <v>1.4596530000000001</v>
      </c>
      <c r="CO42" s="234">
        <v>1.5233080000000001</v>
      </c>
      <c r="CP42" s="234">
        <v>1.448866</v>
      </c>
      <c r="CQ42" s="234">
        <v>1.4430890000000001</v>
      </c>
      <c r="CR42" s="234">
        <v>1.4603759999999999</v>
      </c>
      <c r="CS42" s="234">
        <v>1.4784919999999999</v>
      </c>
      <c r="CT42" s="234">
        <v>1.469258</v>
      </c>
      <c r="CU42" s="234">
        <v>2.7303299999999999</v>
      </c>
      <c r="CV42" s="234">
        <v>2.733644</v>
      </c>
      <c r="CW42" s="234">
        <v>3.0362580000000001</v>
      </c>
      <c r="CX42" s="234">
        <v>2.7231879999999999</v>
      </c>
      <c r="CY42" s="234">
        <v>2.8684959999999999</v>
      </c>
      <c r="CZ42" s="234">
        <v>2.9224380000000001</v>
      </c>
      <c r="DA42" s="234">
        <v>3.075834</v>
      </c>
      <c r="DB42" s="234">
        <v>2.7166139999999999</v>
      </c>
      <c r="DC42" s="234">
        <v>0.99895199999999995</v>
      </c>
      <c r="DD42" s="234">
        <v>0.99895599999999996</v>
      </c>
      <c r="DE42" s="234">
        <v>0.99895199999999995</v>
      </c>
      <c r="DF42" s="234">
        <v>0.99895599999999996</v>
      </c>
      <c r="DG42" s="234">
        <v>0.99895100000000003</v>
      </c>
      <c r="DH42" s="234">
        <v>0.99895500000000004</v>
      </c>
      <c r="DI42" s="234">
        <v>0.99895299999999998</v>
      </c>
      <c r="DJ42" s="234">
        <v>0.99895599999999996</v>
      </c>
      <c r="DK42" s="236"/>
      <c r="DL42" s="234">
        <v>20.613399999999999</v>
      </c>
      <c r="DM42" s="234">
        <v>114.90205973089749</v>
      </c>
      <c r="DN42" s="234">
        <v>150.05037238317183</v>
      </c>
      <c r="DO42" s="234">
        <v>162.70533074658007</v>
      </c>
      <c r="DP42" s="234">
        <v>7.123812</v>
      </c>
      <c r="DQ42" s="234">
        <v>168.23756770928807</v>
      </c>
      <c r="DR42" s="234">
        <v>182.41359279922511</v>
      </c>
      <c r="DS42" s="234">
        <v>5.8768077659362206</v>
      </c>
      <c r="DT42" s="234">
        <v>6.6884687176349304</v>
      </c>
      <c r="DU42" s="237"/>
      <c r="DV42" s="238">
        <v>51330.85</v>
      </c>
      <c r="DW42" s="238">
        <v>4515.55</v>
      </c>
      <c r="DX42" s="238">
        <v>93080.838369999998</v>
      </c>
      <c r="DY42" s="238">
        <v>14930.05</v>
      </c>
      <c r="DZ42" s="238">
        <v>307759.09266999998</v>
      </c>
      <c r="EB42" s="239">
        <v>44592</v>
      </c>
      <c r="EC42" s="239">
        <v>44620</v>
      </c>
    </row>
    <row r="43" spans="1:133" x14ac:dyDescent="0.35">
      <c r="A43" s="233">
        <v>44620</v>
      </c>
      <c r="B43" s="234">
        <v>2.9288850000000002</v>
      </c>
      <c r="C43" s="234">
        <v>3.3839100000000002</v>
      </c>
      <c r="D43" s="234">
        <v>2.928884</v>
      </c>
      <c r="E43" s="234">
        <v>3.4838</v>
      </c>
      <c r="F43" s="234">
        <v>3.05464</v>
      </c>
      <c r="G43" s="234">
        <v>2.9897429999999998</v>
      </c>
      <c r="H43" s="234">
        <v>2.9396749999999998</v>
      </c>
      <c r="I43" s="234">
        <v>3.0008240000000002</v>
      </c>
      <c r="J43" s="234">
        <v>2.5883159999999998</v>
      </c>
      <c r="K43" s="234">
        <v>2.7342089999999999</v>
      </c>
      <c r="L43" s="234">
        <v>5.0247590000000004</v>
      </c>
      <c r="M43" s="234">
        <v>0</v>
      </c>
      <c r="N43" s="234">
        <v>5.8449270000000002</v>
      </c>
      <c r="O43" s="234">
        <v>5.9630879999999999</v>
      </c>
      <c r="P43" s="234">
        <v>5.0247549999999999</v>
      </c>
      <c r="Q43" s="234">
        <v>6.0893280000000001</v>
      </c>
      <c r="R43" s="234">
        <v>5.296678</v>
      </c>
      <c r="S43" s="234">
        <v>5.229317</v>
      </c>
      <c r="T43" s="234">
        <v>5.5004429999999997</v>
      </c>
      <c r="U43" s="234">
        <v>5.5448979999999999</v>
      </c>
      <c r="V43" s="234">
        <v>5.7077249999999999</v>
      </c>
      <c r="W43" s="234">
        <v>0.65203100000000003</v>
      </c>
      <c r="X43" s="234">
        <v>0.80568399999999996</v>
      </c>
      <c r="Y43" s="234">
        <v>0.83738000000000001</v>
      </c>
      <c r="Z43" s="234">
        <v>0.65203199999999994</v>
      </c>
      <c r="AA43" s="234">
        <v>0.70997699999999997</v>
      </c>
      <c r="AB43" s="234">
        <v>0.84665000000000001</v>
      </c>
      <c r="AC43" s="234">
        <v>0.70187900000000003</v>
      </c>
      <c r="AD43" s="234">
        <v>0.69059000000000004</v>
      </c>
      <c r="AE43" s="234">
        <v>0.69609200000000004</v>
      </c>
      <c r="AF43" s="234">
        <v>0.78568300000000002</v>
      </c>
      <c r="AG43" s="234">
        <v>0.72480500000000003</v>
      </c>
      <c r="AH43" s="234">
        <v>1.0701240000000001</v>
      </c>
      <c r="AI43" s="234">
        <v>1.172666</v>
      </c>
      <c r="AJ43" s="234">
        <v>1.0698620000000001</v>
      </c>
      <c r="AK43" s="234">
        <v>1.2260979999999999</v>
      </c>
      <c r="AL43" s="234">
        <v>1.1082970000000001</v>
      </c>
      <c r="AM43" s="234">
        <v>1.069912</v>
      </c>
      <c r="AN43" s="234">
        <v>1.0846530000000001</v>
      </c>
      <c r="AO43" s="234">
        <v>1.0846929999999999</v>
      </c>
      <c r="AP43" s="234">
        <v>1.3263739999999999</v>
      </c>
      <c r="AQ43" s="234">
        <v>1.32758</v>
      </c>
      <c r="AR43" s="234">
        <v>1.241447</v>
      </c>
      <c r="AS43" s="234">
        <v>1.326368</v>
      </c>
      <c r="AT43" s="234">
        <v>1.3717839999999999</v>
      </c>
      <c r="AU43" s="234">
        <v>1.2829189999999999</v>
      </c>
      <c r="AV43" s="234">
        <v>1.366568</v>
      </c>
      <c r="AW43" s="234">
        <v>1.3084629999999999</v>
      </c>
      <c r="AX43" s="234">
        <v>1.2716810000000001</v>
      </c>
      <c r="AY43" s="234">
        <v>1.401179</v>
      </c>
      <c r="AZ43" s="234">
        <v>1.281258</v>
      </c>
      <c r="BA43" s="234">
        <v>1.311812</v>
      </c>
      <c r="BB43" s="235"/>
      <c r="BC43" s="234">
        <v>1.2994950000000001</v>
      </c>
      <c r="BD43" s="234">
        <v>1.353953</v>
      </c>
      <c r="BE43" s="234">
        <v>1.369907</v>
      </c>
      <c r="BF43" s="234">
        <v>1.2996380000000001</v>
      </c>
      <c r="BG43" s="234">
        <v>1.319234</v>
      </c>
      <c r="BH43" s="234">
        <v>1.33857</v>
      </c>
      <c r="BI43" s="234">
        <v>1.414053</v>
      </c>
      <c r="BJ43" s="234">
        <v>1.3287249999999999</v>
      </c>
      <c r="BK43" s="234">
        <v>1.3226880000000001</v>
      </c>
      <c r="BL43" s="234">
        <v>1.3395490000000001</v>
      </c>
      <c r="BM43" s="234">
        <v>1.3566320000000001</v>
      </c>
      <c r="BN43" s="234">
        <v>1.348077</v>
      </c>
      <c r="BO43" s="234">
        <v>3.7808190000000002</v>
      </c>
      <c r="BP43" s="234">
        <v>4.1215010000000003</v>
      </c>
      <c r="BQ43" s="234">
        <v>4.1639350000000004</v>
      </c>
      <c r="BR43" s="234">
        <v>3.7799960000000001</v>
      </c>
      <c r="BS43" s="234">
        <v>3.8218730000000001</v>
      </c>
      <c r="BT43" s="234">
        <v>3.8622570000000001</v>
      </c>
      <c r="BU43" s="234">
        <v>4.0400470000000004</v>
      </c>
      <c r="BV43" s="234">
        <v>3.8426089999999999</v>
      </c>
      <c r="BW43" s="234">
        <v>3.8406530000000001</v>
      </c>
      <c r="BX43" s="234">
        <v>3.8755359999999999</v>
      </c>
      <c r="BY43" s="234">
        <v>3.9109060000000002</v>
      </c>
      <c r="BZ43" s="234">
        <v>3.893411</v>
      </c>
      <c r="CA43" s="234">
        <v>0.41909600000000002</v>
      </c>
      <c r="CB43" s="234">
        <v>0.42063099999999998</v>
      </c>
      <c r="CC43" s="234">
        <v>0.41713699999999998</v>
      </c>
      <c r="CD43" s="234">
        <v>0.45089400000000002</v>
      </c>
      <c r="CE43" s="234">
        <v>0.44354199999999999</v>
      </c>
      <c r="CF43" s="234">
        <v>0.41847299999999998</v>
      </c>
      <c r="CG43" s="234">
        <v>0.41919699999999999</v>
      </c>
      <c r="CH43" s="234">
        <v>0.41844100000000001</v>
      </c>
      <c r="CI43" s="234">
        <v>1.3922870000000001</v>
      </c>
      <c r="CJ43" s="234">
        <v>1.4351860000000001</v>
      </c>
      <c r="CK43" s="234">
        <v>1.4527600000000001</v>
      </c>
      <c r="CL43" s="234">
        <v>1.3924190000000001</v>
      </c>
      <c r="CM43" s="234">
        <v>1.4133009999999999</v>
      </c>
      <c r="CN43" s="234">
        <v>1.4344859999999999</v>
      </c>
      <c r="CO43" s="234">
        <v>1.4984980000000001</v>
      </c>
      <c r="CP43" s="234">
        <v>1.4237200000000001</v>
      </c>
      <c r="CQ43" s="234">
        <v>1.418042</v>
      </c>
      <c r="CR43" s="234">
        <v>1.435311</v>
      </c>
      <c r="CS43" s="234">
        <v>1.4534039999999999</v>
      </c>
      <c r="CT43" s="234">
        <v>1.444188</v>
      </c>
      <c r="CU43" s="234">
        <v>2.8265009999999999</v>
      </c>
      <c r="CV43" s="234">
        <v>2.8299569999999998</v>
      </c>
      <c r="CW43" s="234">
        <v>3.1509100000000001</v>
      </c>
      <c r="CX43" s="234">
        <v>2.8191280000000001</v>
      </c>
      <c r="CY43" s="234">
        <v>2.9728430000000001</v>
      </c>
      <c r="CZ43" s="234">
        <v>3.030106</v>
      </c>
      <c r="DA43" s="234">
        <v>3.1925569999999999</v>
      </c>
      <c r="DB43" s="234">
        <v>2.812303</v>
      </c>
      <c r="DC43" s="234">
        <v>0.946936</v>
      </c>
      <c r="DD43" s="234">
        <v>0.94694400000000001</v>
      </c>
      <c r="DE43" s="234">
        <v>0.94693400000000005</v>
      </c>
      <c r="DF43" s="234">
        <v>0.94837400000000005</v>
      </c>
      <c r="DG43" s="234">
        <v>0.94819399999999998</v>
      </c>
      <c r="DH43" s="234">
        <v>0.94694199999999995</v>
      </c>
      <c r="DI43" s="234">
        <v>0.94693799999999995</v>
      </c>
      <c r="DJ43" s="234">
        <v>0.94694299999999998</v>
      </c>
      <c r="DK43" s="236"/>
      <c r="DL43" s="234">
        <v>20.5212</v>
      </c>
      <c r="DM43" s="234">
        <v>115.03879318197727</v>
      </c>
      <c r="DN43" s="234">
        <v>150.58721927103161</v>
      </c>
      <c r="DO43" s="234">
        <v>163.29757815049763</v>
      </c>
      <c r="DP43" s="234">
        <v>7.1762119999999996</v>
      </c>
      <c r="DQ43" s="234">
        <v>169.01482527210499</v>
      </c>
      <c r="DR43" s="234">
        <v>183.26769377706503</v>
      </c>
      <c r="DS43" s="234">
        <v>5.9032729902421535</v>
      </c>
      <c r="DT43" s="234">
        <v>6.7190052931468873</v>
      </c>
      <c r="DU43" s="237"/>
      <c r="DV43" s="238">
        <v>53400.61</v>
      </c>
      <c r="DW43" s="238">
        <v>4373.9399999999996</v>
      </c>
      <c r="DX43" s="238">
        <v>89758.497527999993</v>
      </c>
      <c r="DY43" s="238">
        <v>14237.81</v>
      </c>
      <c r="DZ43" s="238">
        <v>292176.94657199999</v>
      </c>
      <c r="EB43" s="239">
        <v>44620</v>
      </c>
      <c r="EC43" s="239">
        <v>44651</v>
      </c>
    </row>
    <row r="44" spans="1:133" x14ac:dyDescent="0.35">
      <c r="A44" s="233">
        <v>44651</v>
      </c>
      <c r="B44" s="234">
        <v>2.932963</v>
      </c>
      <c r="C44" s="234">
        <v>3.3888600000000002</v>
      </c>
      <c r="D44" s="234">
        <v>2.9329610000000002</v>
      </c>
      <c r="E44" s="234">
        <v>3.493023</v>
      </c>
      <c r="F44" s="234">
        <v>3.0619170000000002</v>
      </c>
      <c r="G44" s="234">
        <v>2.9940449999999998</v>
      </c>
      <c r="H44" s="234">
        <v>2.9437679999999999</v>
      </c>
      <c r="I44" s="234">
        <v>3.0051610000000002</v>
      </c>
      <c r="J44" s="234">
        <v>2.597826</v>
      </c>
      <c r="K44" s="234">
        <v>2.7444660000000001</v>
      </c>
      <c r="L44" s="234">
        <v>5.0435100000000004</v>
      </c>
      <c r="M44" s="234">
        <v>0</v>
      </c>
      <c r="N44" s="234">
        <v>5.8671769999999999</v>
      </c>
      <c r="O44" s="234">
        <v>5.9931640000000002</v>
      </c>
      <c r="P44" s="234">
        <v>5.0435059999999998</v>
      </c>
      <c r="Q44" s="234">
        <v>6.1212499999999999</v>
      </c>
      <c r="R44" s="234">
        <v>5.323016</v>
      </c>
      <c r="S44" s="234">
        <v>5.2492229999999998</v>
      </c>
      <c r="T44" s="234">
        <v>5.5250859999999999</v>
      </c>
      <c r="U44" s="234">
        <v>5.572489</v>
      </c>
      <c r="V44" s="234">
        <v>5.7336869999999998</v>
      </c>
      <c r="W44" s="234">
        <v>0.65409600000000001</v>
      </c>
      <c r="X44" s="234">
        <v>0.80888800000000005</v>
      </c>
      <c r="Y44" s="234">
        <v>0.84091700000000003</v>
      </c>
      <c r="Z44" s="234">
        <v>0.65409700000000004</v>
      </c>
      <c r="AA44" s="234">
        <v>0.71257999999999999</v>
      </c>
      <c r="AB44" s="234">
        <v>0.85102199999999995</v>
      </c>
      <c r="AC44" s="234">
        <v>0.70531999999999995</v>
      </c>
      <c r="AD44" s="234">
        <v>0.69332499999999997</v>
      </c>
      <c r="AE44" s="234">
        <v>0.69847199999999998</v>
      </c>
      <c r="AF44" s="234">
        <v>0.78895700000000002</v>
      </c>
      <c r="AG44" s="234">
        <v>0.72759200000000002</v>
      </c>
      <c r="AH44" s="234">
        <v>1.036403</v>
      </c>
      <c r="AI44" s="234">
        <v>1.135731</v>
      </c>
      <c r="AJ44" s="234">
        <v>1.036149</v>
      </c>
      <c r="AK44" s="234">
        <v>1.188706</v>
      </c>
      <c r="AL44" s="234">
        <v>1.074273</v>
      </c>
      <c r="AM44" s="234">
        <v>1.036198</v>
      </c>
      <c r="AN44" s="234">
        <v>1.050475</v>
      </c>
      <c r="AO44" s="234">
        <v>1.050511</v>
      </c>
      <c r="AP44" s="234">
        <v>1.331925</v>
      </c>
      <c r="AQ44" s="234">
        <v>1.3335440000000001</v>
      </c>
      <c r="AR44" s="234">
        <v>1.246024</v>
      </c>
      <c r="AS44" s="234">
        <v>1.3319190000000001</v>
      </c>
      <c r="AT44" s="234">
        <v>1.3778680000000001</v>
      </c>
      <c r="AU44" s="234">
        <v>1.287968</v>
      </c>
      <c r="AV44" s="234">
        <v>1.3736520000000001</v>
      </c>
      <c r="AW44" s="234">
        <v>1.3149090000000001</v>
      </c>
      <c r="AX44" s="234">
        <v>1.276429</v>
      </c>
      <c r="AY44" s="234">
        <v>1.4074530000000001</v>
      </c>
      <c r="AZ44" s="234">
        <v>1.286934</v>
      </c>
      <c r="BA44" s="234">
        <v>1.3176829999999999</v>
      </c>
      <c r="BB44" s="235"/>
      <c r="BC44" s="234">
        <v>1.3004869999999999</v>
      </c>
      <c r="BD44" s="234">
        <v>1.355394</v>
      </c>
      <c r="BE44" s="234">
        <v>1.37171</v>
      </c>
      <c r="BF44" s="234">
        <v>1.30063</v>
      </c>
      <c r="BG44" s="234">
        <v>1.3205800000000001</v>
      </c>
      <c r="BH44" s="234">
        <v>1.3402670000000001</v>
      </c>
      <c r="BI44" s="234">
        <v>1.417691</v>
      </c>
      <c r="BJ44" s="234">
        <v>1.3302389999999999</v>
      </c>
      <c r="BK44" s="234">
        <v>1.3241940000000001</v>
      </c>
      <c r="BL44" s="234">
        <v>1.341361</v>
      </c>
      <c r="BM44" s="234">
        <v>1.358768</v>
      </c>
      <c r="BN44" s="234">
        <v>1.350055</v>
      </c>
      <c r="BO44" s="234">
        <v>3.7673999999999999</v>
      </c>
      <c r="BP44" s="234">
        <v>4.1080030000000001</v>
      </c>
      <c r="BQ44" s="234">
        <v>4.151319</v>
      </c>
      <c r="BR44" s="234">
        <v>3.7665799999999998</v>
      </c>
      <c r="BS44" s="234">
        <v>3.809285</v>
      </c>
      <c r="BT44" s="234">
        <v>3.8504849999999999</v>
      </c>
      <c r="BU44" s="234">
        <v>4.0322230000000001</v>
      </c>
      <c r="BV44" s="234">
        <v>3.830444</v>
      </c>
      <c r="BW44" s="234">
        <v>3.8284940000000001</v>
      </c>
      <c r="BX44" s="234">
        <v>3.8640669999999999</v>
      </c>
      <c r="BY44" s="234">
        <v>3.9001779999999999</v>
      </c>
      <c r="BZ44" s="234">
        <v>3.882317</v>
      </c>
      <c r="CA44" s="234">
        <v>0.42055100000000001</v>
      </c>
      <c r="CB44" s="234">
        <v>0.42209400000000002</v>
      </c>
      <c r="CC44" s="234">
        <v>0.41847299999999998</v>
      </c>
      <c r="CD44" s="234">
        <v>0.45324199999999998</v>
      </c>
      <c r="CE44" s="234">
        <v>0.44564199999999998</v>
      </c>
      <c r="CF44" s="234">
        <v>0.41981400000000002</v>
      </c>
      <c r="CG44" s="234">
        <v>0.42065200000000003</v>
      </c>
      <c r="CH44" s="234">
        <v>0.41978300000000002</v>
      </c>
      <c r="CI44" s="234">
        <v>1.393891</v>
      </c>
      <c r="CJ44" s="234">
        <v>1.4372529999999999</v>
      </c>
      <c r="CK44" s="234">
        <v>1.45523</v>
      </c>
      <c r="CL44" s="234">
        <v>1.3940239999999999</v>
      </c>
      <c r="CM44" s="234">
        <v>1.4152929999999999</v>
      </c>
      <c r="CN44" s="234">
        <v>1.436876</v>
      </c>
      <c r="CO44" s="234">
        <v>1.5026090000000001</v>
      </c>
      <c r="CP44" s="234">
        <v>1.4259090000000001</v>
      </c>
      <c r="CQ44" s="234">
        <v>1.420223</v>
      </c>
      <c r="CR44" s="234">
        <v>1.4378299999999999</v>
      </c>
      <c r="CS44" s="234">
        <v>1.4562759999999999</v>
      </c>
      <c r="CT44" s="234">
        <v>1.446885</v>
      </c>
      <c r="CU44" s="234">
        <v>2.970574</v>
      </c>
      <c r="CV44" s="234">
        <v>2.9742310000000001</v>
      </c>
      <c r="CW44" s="234">
        <v>3.3197489999999998</v>
      </c>
      <c r="CX44" s="234">
        <v>2.9621710000000001</v>
      </c>
      <c r="CY44" s="234">
        <v>3.128231</v>
      </c>
      <c r="CZ44" s="234">
        <v>3.1893479999999998</v>
      </c>
      <c r="DA44" s="234">
        <v>3.3650730000000002</v>
      </c>
      <c r="DB44" s="234">
        <v>2.9549780000000001</v>
      </c>
      <c r="DC44" s="234">
        <v>0.95862999999999998</v>
      </c>
      <c r="DD44" s="234">
        <v>0.95864499999999997</v>
      </c>
      <c r="DE44" s="234">
        <v>0.95855900000000005</v>
      </c>
      <c r="DF44" s="234">
        <v>0.96175699999999997</v>
      </c>
      <c r="DG44" s="234">
        <v>0.96130099999999996</v>
      </c>
      <c r="DH44" s="234">
        <v>0.95857300000000001</v>
      </c>
      <c r="DI44" s="234">
        <v>0.95863600000000004</v>
      </c>
      <c r="DJ44" s="234">
        <v>0.95857499999999995</v>
      </c>
      <c r="DK44" s="236"/>
      <c r="DL44" s="234">
        <v>19.891100000000002</v>
      </c>
      <c r="DM44" s="234">
        <v>115.19927229846613</v>
      </c>
      <c r="DN44" s="234">
        <v>151.22131695351203</v>
      </c>
      <c r="DO44" s="234">
        <v>163.99644642454336</v>
      </c>
      <c r="DP44" s="234">
        <v>7.2426510000000004</v>
      </c>
      <c r="DQ44" s="234">
        <v>169.92445367200696</v>
      </c>
      <c r="DR44" s="234">
        <v>184.2666554312282</v>
      </c>
      <c r="DS44" s="234">
        <v>5.9349424100367498</v>
      </c>
      <c r="DT44" s="234">
        <v>6.7555137549633439</v>
      </c>
      <c r="DU44" s="237"/>
      <c r="DV44" s="238">
        <v>56536.68</v>
      </c>
      <c r="DW44" s="238">
        <v>4530.41</v>
      </c>
      <c r="DX44" s="238">
        <v>90114.838350999999</v>
      </c>
      <c r="DY44" s="238">
        <v>14838.49</v>
      </c>
      <c r="DZ44" s="238">
        <v>295153.888439</v>
      </c>
      <c r="EB44" s="239">
        <v>44651</v>
      </c>
      <c r="EC44" s="239">
        <v>44680</v>
      </c>
    </row>
    <row r="45" spans="1:133" x14ac:dyDescent="0.35">
      <c r="A45" s="233">
        <v>44680</v>
      </c>
      <c r="B45" s="234">
        <v>2.9167149999999999</v>
      </c>
      <c r="C45" s="234">
        <v>3.3703259999999999</v>
      </c>
      <c r="D45" s="234">
        <v>2.9167139999999998</v>
      </c>
      <c r="E45" s="234">
        <v>3.4780289999999998</v>
      </c>
      <c r="F45" s="234">
        <v>3.047965</v>
      </c>
      <c r="G45" s="234">
        <v>2.977595</v>
      </c>
      <c r="H45" s="234">
        <v>2.9274619999999998</v>
      </c>
      <c r="I45" s="234">
        <v>2.9886729999999999</v>
      </c>
      <c r="J45" s="234">
        <v>2.611272</v>
      </c>
      <c r="K45" s="234">
        <v>2.7588840000000001</v>
      </c>
      <c r="L45" s="234">
        <v>5.0641249999999998</v>
      </c>
      <c r="M45" s="234">
        <v>0</v>
      </c>
      <c r="N45" s="234">
        <v>5.8916019999999998</v>
      </c>
      <c r="O45" s="234">
        <v>6.0255299999999998</v>
      </c>
      <c r="P45" s="234">
        <v>5.0641210000000001</v>
      </c>
      <c r="Q45" s="234">
        <v>6.1555299999999997</v>
      </c>
      <c r="R45" s="234">
        <v>5.3513820000000001</v>
      </c>
      <c r="S45" s="234">
        <v>5.2710749999999997</v>
      </c>
      <c r="T45" s="234">
        <v>5.5518080000000003</v>
      </c>
      <c r="U45" s="234">
        <v>5.6022020000000001</v>
      </c>
      <c r="V45" s="234">
        <v>5.7618260000000001</v>
      </c>
      <c r="W45" s="234">
        <v>0.65647800000000001</v>
      </c>
      <c r="X45" s="234">
        <v>0.81248799999999999</v>
      </c>
      <c r="Y45" s="234">
        <v>0.84486799999999995</v>
      </c>
      <c r="Z45" s="234">
        <v>0.65647900000000003</v>
      </c>
      <c r="AA45" s="234">
        <v>0.71553199999999995</v>
      </c>
      <c r="AB45" s="234">
        <v>0.85582100000000005</v>
      </c>
      <c r="AC45" s="234">
        <v>0.70911400000000002</v>
      </c>
      <c r="AD45" s="234">
        <v>0.69639899999999999</v>
      </c>
      <c r="AE45" s="234">
        <v>0.70119100000000001</v>
      </c>
      <c r="AF45" s="234">
        <v>0.79261999999999999</v>
      </c>
      <c r="AG45" s="234">
        <v>0.73073200000000005</v>
      </c>
      <c r="AH45" s="234">
        <v>1.0593619999999999</v>
      </c>
      <c r="AI45" s="234">
        <v>1.1609100000000001</v>
      </c>
      <c r="AJ45" s="234">
        <v>1.0591029999999999</v>
      </c>
      <c r="AK45" s="234">
        <v>1.216313</v>
      </c>
      <c r="AL45" s="234">
        <v>1.098992</v>
      </c>
      <c r="AM45" s="234">
        <v>1.0591520000000001</v>
      </c>
      <c r="AN45" s="234">
        <v>1.0737460000000001</v>
      </c>
      <c r="AO45" s="234">
        <v>1.07378</v>
      </c>
      <c r="AP45" s="234">
        <v>1.3381350000000001</v>
      </c>
      <c r="AQ45" s="234">
        <v>1.340171</v>
      </c>
      <c r="AR45" s="234">
        <v>1.251212</v>
      </c>
      <c r="AS45" s="234">
        <v>1.3381289999999999</v>
      </c>
      <c r="AT45" s="234">
        <v>1.384636</v>
      </c>
      <c r="AU45" s="234">
        <v>1.293652</v>
      </c>
      <c r="AV45" s="234">
        <v>1.381429</v>
      </c>
      <c r="AW45" s="234">
        <v>1.3220160000000001</v>
      </c>
      <c r="AX45" s="234">
        <v>1.2818000000000001</v>
      </c>
      <c r="AY45" s="234">
        <v>1.4144220000000001</v>
      </c>
      <c r="AZ45" s="234">
        <v>1.2932509999999999</v>
      </c>
      <c r="BA45" s="234">
        <v>1.324206</v>
      </c>
      <c r="BB45" s="235"/>
      <c r="BC45" s="234">
        <v>1.2720450000000001</v>
      </c>
      <c r="BD45" s="234">
        <v>1.3261510000000001</v>
      </c>
      <c r="BE45" s="234">
        <v>1.342449</v>
      </c>
      <c r="BF45" s="234">
        <v>1.2721849999999999</v>
      </c>
      <c r="BG45" s="234">
        <v>1.2920309999999999</v>
      </c>
      <c r="BH45" s="234">
        <v>1.3116159999999999</v>
      </c>
      <c r="BI45" s="234">
        <v>1.3891929999999999</v>
      </c>
      <c r="BJ45" s="234">
        <v>1.3016350000000001</v>
      </c>
      <c r="BK45" s="234">
        <v>1.29572</v>
      </c>
      <c r="BL45" s="234">
        <v>1.3127979999999999</v>
      </c>
      <c r="BM45" s="234">
        <v>1.330128</v>
      </c>
      <c r="BN45" s="234">
        <v>1.321456</v>
      </c>
      <c r="BO45" s="234">
        <v>3.6098330000000001</v>
      </c>
      <c r="BP45" s="234">
        <v>3.9372750000000001</v>
      </c>
      <c r="BQ45" s="234">
        <v>3.9797829999999998</v>
      </c>
      <c r="BR45" s="234">
        <v>3.6090469999999999</v>
      </c>
      <c r="BS45" s="234">
        <v>3.6509010000000002</v>
      </c>
      <c r="BT45" s="234">
        <v>3.6912989999999999</v>
      </c>
      <c r="BU45" s="234">
        <v>3.8698329999999999</v>
      </c>
      <c r="BV45" s="234">
        <v>3.6716519999999999</v>
      </c>
      <c r="BW45" s="234">
        <v>3.6697820000000001</v>
      </c>
      <c r="BX45" s="234">
        <v>3.7046480000000002</v>
      </c>
      <c r="BY45" s="234">
        <v>3.7400799999999998</v>
      </c>
      <c r="BZ45" s="234">
        <v>3.7225540000000001</v>
      </c>
      <c r="CA45" s="234">
        <v>0.39408900000000002</v>
      </c>
      <c r="CB45" s="234">
        <v>0.395536</v>
      </c>
      <c r="CC45" s="234">
        <v>0.39214100000000002</v>
      </c>
      <c r="CD45" s="234">
        <v>0.42545699999999997</v>
      </c>
      <c r="CE45" s="234">
        <v>0.41823900000000003</v>
      </c>
      <c r="CF45" s="234">
        <v>0.39340000000000003</v>
      </c>
      <c r="CG45" s="234">
        <v>0.39418300000000001</v>
      </c>
      <c r="CH45" s="234">
        <v>0.39337</v>
      </c>
      <c r="CI45" s="234">
        <v>1.3475969999999999</v>
      </c>
      <c r="CJ45" s="234">
        <v>1.3899189999999999</v>
      </c>
      <c r="CK45" s="234">
        <v>1.4076709999999999</v>
      </c>
      <c r="CL45" s="234">
        <v>1.347726</v>
      </c>
      <c r="CM45" s="234">
        <v>1.3686400000000001</v>
      </c>
      <c r="CN45" s="234">
        <v>1.3898680000000001</v>
      </c>
      <c r="CO45" s="234">
        <v>1.4550149999999999</v>
      </c>
      <c r="CP45" s="234">
        <v>1.3790830000000001</v>
      </c>
      <c r="CQ45" s="234">
        <v>1.373583</v>
      </c>
      <c r="CR45" s="234">
        <v>1.390914</v>
      </c>
      <c r="CS45" s="234">
        <v>1.4090659999999999</v>
      </c>
      <c r="CT45" s="234">
        <v>1.3998299999999999</v>
      </c>
      <c r="CU45" s="234">
        <v>2.7259069999999999</v>
      </c>
      <c r="CV45" s="234">
        <v>2.7292809999999998</v>
      </c>
      <c r="CW45" s="234">
        <v>3.0542750000000001</v>
      </c>
      <c r="CX45" s="234">
        <v>2.7179359999999999</v>
      </c>
      <c r="CY45" s="234">
        <v>2.8741159999999999</v>
      </c>
      <c r="CZ45" s="234">
        <v>2.931435</v>
      </c>
      <c r="DA45" s="234">
        <v>3.0969180000000001</v>
      </c>
      <c r="DB45" s="234">
        <v>2.7113179999999999</v>
      </c>
      <c r="DC45" s="234">
        <v>0.85817100000000002</v>
      </c>
      <c r="DD45" s="234">
        <v>0.85819199999999995</v>
      </c>
      <c r="DE45" s="234">
        <v>0.85810699999999995</v>
      </c>
      <c r="DF45" s="234">
        <v>0.86246599999999995</v>
      </c>
      <c r="DG45" s="234">
        <v>0.86187800000000003</v>
      </c>
      <c r="DH45" s="234">
        <v>0.85812500000000003</v>
      </c>
      <c r="DI45" s="234">
        <v>0.85817699999999997</v>
      </c>
      <c r="DJ45" s="234">
        <v>0.858128</v>
      </c>
      <c r="DK45" s="236"/>
      <c r="DL45" s="234">
        <v>20.345300000000002</v>
      </c>
      <c r="DM45" s="234">
        <v>115.35053534295359</v>
      </c>
      <c r="DN45" s="234">
        <v>151.83405732862337</v>
      </c>
      <c r="DO45" s="234">
        <v>164.6715195744226</v>
      </c>
      <c r="DP45" s="234">
        <v>7.3105010000000004</v>
      </c>
      <c r="DQ45" s="234">
        <v>170.83472953008047</v>
      </c>
      <c r="DR45" s="234">
        <v>185.26563662957579</v>
      </c>
      <c r="DS45" s="234">
        <v>5.9658989047879905</v>
      </c>
      <c r="DT45" s="234">
        <v>6.7911856823869483</v>
      </c>
      <c r="DU45" s="237"/>
      <c r="DV45" s="238">
        <v>51417.97</v>
      </c>
      <c r="DW45" s="238">
        <v>4131.93</v>
      </c>
      <c r="DX45" s="238">
        <v>84065.355429000017</v>
      </c>
      <c r="DY45" s="238">
        <v>12854.8</v>
      </c>
      <c r="DZ45" s="238">
        <v>261534.76244000002</v>
      </c>
      <c r="EB45" s="239">
        <v>44680</v>
      </c>
      <c r="EC45" s="239">
        <v>44712</v>
      </c>
    </row>
    <row r="46" spans="1:133" x14ac:dyDescent="0.35">
      <c r="A46" s="233">
        <v>44712</v>
      </c>
      <c r="B46" s="234">
        <v>2.9376220000000002</v>
      </c>
      <c r="C46" s="234">
        <v>3.394717</v>
      </c>
      <c r="D46" s="234">
        <v>2.9376199999999999</v>
      </c>
      <c r="E46" s="234">
        <v>3.5072100000000002</v>
      </c>
      <c r="F46" s="234">
        <v>3.0727500000000001</v>
      </c>
      <c r="G46" s="234">
        <v>2.999072</v>
      </c>
      <c r="H46" s="234">
        <v>2.9484460000000001</v>
      </c>
      <c r="I46" s="234">
        <v>3.0102669999999998</v>
      </c>
      <c r="J46" s="234">
        <v>2.6226069999999999</v>
      </c>
      <c r="K46" s="234">
        <v>2.7710650000000001</v>
      </c>
      <c r="L46" s="234">
        <v>5.0854840000000001</v>
      </c>
      <c r="M46" s="234">
        <v>0</v>
      </c>
      <c r="N46" s="234">
        <v>5.9168810000000001</v>
      </c>
      <c r="O46" s="234">
        <v>6.0586000000000002</v>
      </c>
      <c r="P46" s="234">
        <v>5.0854799999999996</v>
      </c>
      <c r="Q46" s="234">
        <v>6.1904919999999999</v>
      </c>
      <c r="R46" s="234">
        <v>5.3803830000000001</v>
      </c>
      <c r="S46" s="234">
        <v>5.2936909999999999</v>
      </c>
      <c r="T46" s="234">
        <v>5.5792479999999998</v>
      </c>
      <c r="U46" s="234">
        <v>5.6325789999999998</v>
      </c>
      <c r="V46" s="234">
        <v>5.7907089999999997</v>
      </c>
      <c r="W46" s="234">
        <v>0.65892099999999998</v>
      </c>
      <c r="X46" s="234">
        <v>0.81614799999999998</v>
      </c>
      <c r="Y46" s="234">
        <v>0.84887500000000005</v>
      </c>
      <c r="Z46" s="234">
        <v>0.65892200000000001</v>
      </c>
      <c r="AA46" s="234">
        <v>0.71854099999999999</v>
      </c>
      <c r="AB46" s="234">
        <v>0.86065999999999998</v>
      </c>
      <c r="AC46" s="234">
        <v>0.71294500000000005</v>
      </c>
      <c r="AD46" s="234">
        <v>0.69952199999999998</v>
      </c>
      <c r="AE46" s="234">
        <v>0.70397100000000001</v>
      </c>
      <c r="AF46" s="234">
        <v>0.79633699999999996</v>
      </c>
      <c r="AG46" s="234">
        <v>0.73392100000000005</v>
      </c>
      <c r="AH46" s="234">
        <v>1.024087</v>
      </c>
      <c r="AI46" s="234">
        <v>1.1222719999999999</v>
      </c>
      <c r="AJ46" s="234">
        <v>1.023836</v>
      </c>
      <c r="AK46" s="234">
        <v>1.1770050000000001</v>
      </c>
      <c r="AL46" s="234">
        <v>1.063259</v>
      </c>
      <c r="AM46" s="234">
        <v>1.023884</v>
      </c>
      <c r="AN46" s="234">
        <v>1.037992</v>
      </c>
      <c r="AO46" s="234">
        <v>1.0380229999999999</v>
      </c>
      <c r="AP46" s="234">
        <v>1.3444499999999999</v>
      </c>
      <c r="AQ46" s="234">
        <v>1.346892</v>
      </c>
      <c r="AR46" s="234">
        <v>1.2565120000000001</v>
      </c>
      <c r="AS46" s="234">
        <v>1.344444</v>
      </c>
      <c r="AT46" s="234">
        <v>1.391505</v>
      </c>
      <c r="AU46" s="234">
        <v>1.299445</v>
      </c>
      <c r="AV46" s="234">
        <v>1.3892850000000001</v>
      </c>
      <c r="AW46" s="234">
        <v>1.3292040000000001</v>
      </c>
      <c r="AX46" s="234">
        <v>1.287285</v>
      </c>
      <c r="AY46" s="234">
        <v>1.421494</v>
      </c>
      <c r="AZ46" s="234">
        <v>1.299661</v>
      </c>
      <c r="BA46" s="234">
        <v>1.330824</v>
      </c>
      <c r="BB46" s="235"/>
      <c r="BC46" s="234">
        <v>1.2598279999999999</v>
      </c>
      <c r="BD46" s="234">
        <v>1.313798</v>
      </c>
      <c r="BE46" s="234">
        <v>1.3302620000000001</v>
      </c>
      <c r="BF46" s="234">
        <v>1.2599659999999999</v>
      </c>
      <c r="BG46" s="234">
        <v>1.2799389999999999</v>
      </c>
      <c r="BH46" s="234">
        <v>1.299652</v>
      </c>
      <c r="BI46" s="234">
        <v>1.378258</v>
      </c>
      <c r="BJ46" s="234">
        <v>1.289601</v>
      </c>
      <c r="BK46" s="234">
        <v>1.283741</v>
      </c>
      <c r="BL46" s="234">
        <v>1.300932</v>
      </c>
      <c r="BM46" s="234">
        <v>1.3183849999999999</v>
      </c>
      <c r="BN46" s="234">
        <v>1.309644</v>
      </c>
      <c r="BO46" s="234">
        <v>3.514945</v>
      </c>
      <c r="BP46" s="234">
        <v>3.8348049999999998</v>
      </c>
      <c r="BQ46" s="234">
        <v>3.877132</v>
      </c>
      <c r="BR46" s="234">
        <v>3.5141800000000001</v>
      </c>
      <c r="BS46" s="234">
        <v>3.5558169999999998</v>
      </c>
      <c r="BT46" s="234">
        <v>3.5960200000000002</v>
      </c>
      <c r="BU46" s="234">
        <v>3.7740130000000001</v>
      </c>
      <c r="BV46" s="234">
        <v>3.57647</v>
      </c>
      <c r="BW46" s="234">
        <v>3.574649</v>
      </c>
      <c r="BX46" s="234">
        <v>3.609248</v>
      </c>
      <c r="BY46" s="234">
        <v>3.6446200000000002</v>
      </c>
      <c r="BZ46" s="234">
        <v>3.627154</v>
      </c>
      <c r="CA46" s="234">
        <v>0.38284499999999999</v>
      </c>
      <c r="CB46" s="234">
        <v>0.38425300000000001</v>
      </c>
      <c r="CC46" s="234">
        <v>0.38095299999999999</v>
      </c>
      <c r="CD46" s="234">
        <v>0.41401100000000002</v>
      </c>
      <c r="CE46" s="234">
        <v>0.40690700000000002</v>
      </c>
      <c r="CF46" s="234">
        <v>0.38217800000000002</v>
      </c>
      <c r="CG46" s="234">
        <v>0.382936</v>
      </c>
      <c r="CH46" s="234">
        <v>0.38214500000000001</v>
      </c>
      <c r="CI46" s="234">
        <v>1.3255129999999999</v>
      </c>
      <c r="CJ46" s="234">
        <v>1.3675219999999999</v>
      </c>
      <c r="CK46" s="234">
        <v>1.38533</v>
      </c>
      <c r="CL46" s="234">
        <v>1.3256399999999999</v>
      </c>
      <c r="CM46" s="234">
        <v>1.3465450000000001</v>
      </c>
      <c r="CN46" s="234">
        <v>1.3677710000000001</v>
      </c>
      <c r="CO46" s="234">
        <v>1.4333720000000001</v>
      </c>
      <c r="CP46" s="234">
        <v>1.3569880000000001</v>
      </c>
      <c r="CQ46" s="234">
        <v>1.351577</v>
      </c>
      <c r="CR46" s="234">
        <v>1.3689169999999999</v>
      </c>
      <c r="CS46" s="234">
        <v>1.3870739999999999</v>
      </c>
      <c r="CT46" s="234">
        <v>1.3778379999999999</v>
      </c>
      <c r="CU46" s="234">
        <v>2.7565620000000002</v>
      </c>
      <c r="CV46" s="234">
        <v>2.759992</v>
      </c>
      <c r="CW46" s="234">
        <v>3.0944940000000001</v>
      </c>
      <c r="CX46" s="234">
        <v>2.7465290000000002</v>
      </c>
      <c r="CY46" s="234">
        <v>2.9099059999999999</v>
      </c>
      <c r="CZ46" s="234">
        <v>2.96719</v>
      </c>
      <c r="DA46" s="234">
        <v>3.1405759999999998</v>
      </c>
      <c r="DB46" s="234">
        <v>2.7398280000000002</v>
      </c>
      <c r="DC46" s="234">
        <v>0.82130099999999995</v>
      </c>
      <c r="DD46" s="234">
        <v>0.82133100000000003</v>
      </c>
      <c r="DE46" s="234">
        <v>0.82123900000000005</v>
      </c>
      <c r="DF46" s="234">
        <v>0.82679899999999995</v>
      </c>
      <c r="DG46" s="234">
        <v>0.826067</v>
      </c>
      <c r="DH46" s="234">
        <v>0.82126100000000002</v>
      </c>
      <c r="DI46" s="234">
        <v>0.82130700000000001</v>
      </c>
      <c r="DJ46" s="234">
        <v>0.82127099999999997</v>
      </c>
      <c r="DK46" s="236"/>
      <c r="DL46" s="234">
        <v>19.685500000000001</v>
      </c>
      <c r="DM46" s="234">
        <v>115.52586815667487</v>
      </c>
      <c r="DN46" s="234">
        <v>152.53721771856303</v>
      </c>
      <c r="DO46" s="234">
        <v>165.44584165313253</v>
      </c>
      <c r="DP46" s="234">
        <v>7.3300929999999997</v>
      </c>
      <c r="DQ46" s="234">
        <v>171.88707146398576</v>
      </c>
      <c r="DR46" s="234">
        <v>186.42004739648542</v>
      </c>
      <c r="DS46" s="234">
        <v>6.0022352063840856</v>
      </c>
      <c r="DT46" s="234">
        <v>6.833031459409443</v>
      </c>
      <c r="DU46" s="237"/>
      <c r="DV46" s="238">
        <v>51752.53</v>
      </c>
      <c r="DW46" s="238">
        <v>4132.1499999999996</v>
      </c>
      <c r="DX46" s="238">
        <v>81343.43882499999</v>
      </c>
      <c r="DY46" s="238">
        <v>12642.1</v>
      </c>
      <c r="DZ46" s="238">
        <v>248866.05955000003</v>
      </c>
      <c r="EB46" s="239">
        <v>44712</v>
      </c>
      <c r="EC46" s="239">
        <v>44742</v>
      </c>
    </row>
    <row r="47" spans="1:133" x14ac:dyDescent="0.35">
      <c r="A47" s="233">
        <v>44742</v>
      </c>
      <c r="B47" s="234">
        <v>2.943899</v>
      </c>
      <c r="C47" s="234">
        <v>3.402209</v>
      </c>
      <c r="D47" s="234">
        <v>2.9438970000000002</v>
      </c>
      <c r="E47" s="234">
        <v>3.518974</v>
      </c>
      <c r="F47" s="234">
        <v>3.0822630000000002</v>
      </c>
      <c r="G47" s="234">
        <v>3.0056210000000001</v>
      </c>
      <c r="H47" s="234">
        <v>2.9547469999999998</v>
      </c>
      <c r="I47" s="234">
        <v>3.016883</v>
      </c>
      <c r="J47" s="234">
        <v>2.6358839999999999</v>
      </c>
      <c r="K47" s="234">
        <v>2.785301</v>
      </c>
      <c r="L47" s="234">
        <v>5.1081510000000003</v>
      </c>
      <c r="M47" s="234">
        <v>0</v>
      </c>
      <c r="N47" s="234">
        <v>5.9436840000000002</v>
      </c>
      <c r="O47" s="234">
        <v>6.0933029999999997</v>
      </c>
      <c r="P47" s="234">
        <v>5.1081469999999998</v>
      </c>
      <c r="Q47" s="234">
        <v>6.2271369999999999</v>
      </c>
      <c r="R47" s="234">
        <v>5.4108299999999998</v>
      </c>
      <c r="S47" s="234">
        <v>5.317672</v>
      </c>
      <c r="T47" s="234">
        <v>5.6081599999999998</v>
      </c>
      <c r="U47" s="234">
        <v>5.6644709999999998</v>
      </c>
      <c r="V47" s="234">
        <v>5.8211360000000001</v>
      </c>
      <c r="W47" s="234">
        <v>0.66152999999999995</v>
      </c>
      <c r="X47" s="234">
        <v>0.820017</v>
      </c>
      <c r="Y47" s="234">
        <v>0.85310399999999997</v>
      </c>
      <c r="Z47" s="234">
        <v>0.66152999999999995</v>
      </c>
      <c r="AA47" s="234">
        <v>0.72173299999999996</v>
      </c>
      <c r="AB47" s="234">
        <v>0.86573100000000003</v>
      </c>
      <c r="AC47" s="234">
        <v>0.71696599999999999</v>
      </c>
      <c r="AD47" s="234">
        <v>0.70282500000000003</v>
      </c>
      <c r="AE47" s="234">
        <v>0.70692900000000003</v>
      </c>
      <c r="AF47" s="234">
        <v>0.800261</v>
      </c>
      <c r="AG47" s="234">
        <v>0.73729900000000004</v>
      </c>
      <c r="AH47" s="234">
        <v>1.047509</v>
      </c>
      <c r="AI47" s="234">
        <v>1.1479569999999999</v>
      </c>
      <c r="AJ47" s="234">
        <v>1.0472520000000001</v>
      </c>
      <c r="AK47" s="234">
        <v>1.2051449999999999</v>
      </c>
      <c r="AL47" s="234">
        <v>1.0884579999999999</v>
      </c>
      <c r="AM47" s="234">
        <v>1.047301</v>
      </c>
      <c r="AN47" s="234">
        <v>1.061731</v>
      </c>
      <c r="AO47" s="234">
        <v>1.0617620000000001</v>
      </c>
      <c r="AP47" s="234">
        <v>1.351124</v>
      </c>
      <c r="AQ47" s="234">
        <v>1.353977</v>
      </c>
      <c r="AR47" s="234">
        <v>1.262143</v>
      </c>
      <c r="AS47" s="234">
        <v>1.351118</v>
      </c>
      <c r="AT47" s="234">
        <v>1.3987480000000001</v>
      </c>
      <c r="AU47" s="234">
        <v>1.305582</v>
      </c>
      <c r="AV47" s="234">
        <v>1.3975230000000001</v>
      </c>
      <c r="AW47" s="234">
        <v>1.336757</v>
      </c>
      <c r="AX47" s="234">
        <v>1.2931090000000001</v>
      </c>
      <c r="AY47" s="234">
        <v>1.428949</v>
      </c>
      <c r="AZ47" s="234">
        <v>1.3064210000000001</v>
      </c>
      <c r="BA47" s="234">
        <v>1.3378019999999999</v>
      </c>
      <c r="BB47" s="235"/>
      <c r="BC47" s="234">
        <v>1.2371110000000001</v>
      </c>
      <c r="BD47" s="234">
        <v>1.290484</v>
      </c>
      <c r="BE47" s="234">
        <v>1.3069679999999999</v>
      </c>
      <c r="BF47" s="234">
        <v>1.237247</v>
      </c>
      <c r="BG47" s="234">
        <v>1.2571730000000001</v>
      </c>
      <c r="BH47" s="234">
        <v>1.27684</v>
      </c>
      <c r="BI47" s="234">
        <v>1.355775</v>
      </c>
      <c r="BJ47" s="234">
        <v>1.2668079999999999</v>
      </c>
      <c r="BK47" s="234">
        <v>1.26105</v>
      </c>
      <c r="BL47" s="234">
        <v>1.278208</v>
      </c>
      <c r="BM47" s="234">
        <v>1.295628</v>
      </c>
      <c r="BN47" s="234">
        <v>1.2869010000000001</v>
      </c>
      <c r="BO47" s="234">
        <v>3.3772060000000002</v>
      </c>
      <c r="BP47" s="234">
        <v>3.6855129999999998</v>
      </c>
      <c r="BQ47" s="234">
        <v>3.7270699999999999</v>
      </c>
      <c r="BR47" s="234">
        <v>3.376471</v>
      </c>
      <c r="BS47" s="234">
        <v>3.4173230000000001</v>
      </c>
      <c r="BT47" s="234">
        <v>3.456785</v>
      </c>
      <c r="BU47" s="234">
        <v>3.6318009999999998</v>
      </c>
      <c r="BV47" s="234">
        <v>3.4375990000000001</v>
      </c>
      <c r="BW47" s="234">
        <v>3.4358490000000002</v>
      </c>
      <c r="BX47" s="234">
        <v>3.4698099999999998</v>
      </c>
      <c r="BY47" s="234">
        <v>3.50454</v>
      </c>
      <c r="BZ47" s="234">
        <v>3.4873780000000001</v>
      </c>
      <c r="CA47" s="234">
        <v>0.36030000000000001</v>
      </c>
      <c r="CB47" s="234">
        <v>0.36162699999999998</v>
      </c>
      <c r="CC47" s="234">
        <v>0.35839399999999999</v>
      </c>
      <c r="CD47" s="234">
        <v>0.39028299999999999</v>
      </c>
      <c r="CE47" s="234">
        <v>0.38337700000000002</v>
      </c>
      <c r="CF47" s="234">
        <v>0.35954799999999998</v>
      </c>
      <c r="CG47" s="234">
        <v>0.36038599999999998</v>
      </c>
      <c r="CH47" s="234">
        <v>0.359512</v>
      </c>
      <c r="CI47" s="234">
        <v>1.2847580000000001</v>
      </c>
      <c r="CJ47" s="234">
        <v>1.325842</v>
      </c>
      <c r="CK47" s="234">
        <v>1.343437</v>
      </c>
      <c r="CL47" s="234">
        <v>1.28488</v>
      </c>
      <c r="CM47" s="234">
        <v>1.3054669999999999</v>
      </c>
      <c r="CN47" s="234">
        <v>1.3263739999999999</v>
      </c>
      <c r="CO47" s="234">
        <v>1.391438</v>
      </c>
      <c r="CP47" s="234">
        <v>1.315755</v>
      </c>
      <c r="CQ47" s="234">
        <v>1.310508</v>
      </c>
      <c r="CR47" s="234">
        <v>1.327601</v>
      </c>
      <c r="CS47" s="234">
        <v>1.3454839999999999</v>
      </c>
      <c r="CT47" s="234">
        <v>1.336387</v>
      </c>
      <c r="CU47" s="234">
        <v>2.5473080000000001</v>
      </c>
      <c r="CV47" s="234">
        <v>2.5504920000000002</v>
      </c>
      <c r="CW47" s="234">
        <v>2.8667929999999999</v>
      </c>
      <c r="CX47" s="234">
        <v>2.537782</v>
      </c>
      <c r="CY47" s="234">
        <v>2.6922199999999998</v>
      </c>
      <c r="CZ47" s="234">
        <v>2.7462650000000002</v>
      </c>
      <c r="DA47" s="234">
        <v>2.9103840000000001</v>
      </c>
      <c r="DB47" s="234">
        <v>2.531574</v>
      </c>
      <c r="DC47" s="234">
        <v>0.77029700000000001</v>
      </c>
      <c r="DD47" s="234">
        <v>0.77032900000000004</v>
      </c>
      <c r="DE47" s="234">
        <v>0.77014800000000005</v>
      </c>
      <c r="DF47" s="234">
        <v>0.77675499999999997</v>
      </c>
      <c r="DG47" s="234">
        <v>0.77582200000000001</v>
      </c>
      <c r="DH47" s="234">
        <v>0.77017199999999997</v>
      </c>
      <c r="DI47" s="234">
        <v>0.77030399999999999</v>
      </c>
      <c r="DJ47" s="234">
        <v>0.77018299999999995</v>
      </c>
      <c r="DK47" s="236"/>
      <c r="DL47" s="234">
        <v>20.135300000000001</v>
      </c>
      <c r="DM47" s="234">
        <v>115.69819424334192</v>
      </c>
      <c r="DN47" s="234">
        <v>153.27066750709312</v>
      </c>
      <c r="DO47" s="234">
        <v>166.25239013119156</v>
      </c>
      <c r="DP47" s="234">
        <v>7.3615180000000002</v>
      </c>
      <c r="DQ47" s="234">
        <v>172.93844738444048</v>
      </c>
      <c r="DR47" s="234">
        <v>187.5727446895537</v>
      </c>
      <c r="DS47" s="234">
        <v>6.0387488038895896</v>
      </c>
      <c r="DT47" s="234">
        <v>6.8750546028848118</v>
      </c>
      <c r="DU47" s="237"/>
      <c r="DV47" s="238">
        <v>47524.45</v>
      </c>
      <c r="DW47" s="238">
        <v>3785.38</v>
      </c>
      <c r="DX47" s="238">
        <v>76219.761914000002</v>
      </c>
      <c r="DY47" s="238">
        <v>11503.717000000001</v>
      </c>
      <c r="DZ47" s="238">
        <v>231630.79291010002</v>
      </c>
      <c r="EB47" s="239">
        <v>44742</v>
      </c>
      <c r="EC47" s="239">
        <v>44771</v>
      </c>
    </row>
    <row r="48" spans="1:133" x14ac:dyDescent="0.35">
      <c r="A48" s="233">
        <v>44771</v>
      </c>
      <c r="B48" s="234">
        <v>2.9781399999999998</v>
      </c>
      <c r="C48" s="234">
        <v>3.4420299999999999</v>
      </c>
      <c r="D48" s="234">
        <v>2.9781390000000001</v>
      </c>
      <c r="E48" s="234">
        <v>3.5643739999999999</v>
      </c>
      <c r="F48" s="234">
        <v>3.1211980000000001</v>
      </c>
      <c r="G48" s="234">
        <v>3.0407280000000001</v>
      </c>
      <c r="H48" s="234">
        <v>2.989115</v>
      </c>
      <c r="I48" s="234">
        <v>3.0521470000000002</v>
      </c>
      <c r="J48" s="234">
        <v>2.6468210000000001</v>
      </c>
      <c r="K48" s="234">
        <v>2.7970739999999998</v>
      </c>
      <c r="L48" s="234">
        <v>5.1347370000000003</v>
      </c>
      <c r="M48" s="234">
        <v>0</v>
      </c>
      <c r="N48" s="234">
        <v>5.9750680000000003</v>
      </c>
      <c r="O48" s="234">
        <v>6.1330249999999999</v>
      </c>
      <c r="P48" s="234">
        <v>5.1347329999999998</v>
      </c>
      <c r="Q48" s="234">
        <v>6.2689709999999996</v>
      </c>
      <c r="R48" s="234">
        <v>5.4457180000000003</v>
      </c>
      <c r="S48" s="234">
        <v>5.3457499999999998</v>
      </c>
      <c r="T48" s="234">
        <v>5.6415540000000002</v>
      </c>
      <c r="U48" s="234">
        <v>5.7010120000000004</v>
      </c>
      <c r="V48" s="234">
        <v>5.8562070000000004</v>
      </c>
      <c r="W48" s="234">
        <v>0.66470099999999999</v>
      </c>
      <c r="X48" s="234">
        <v>0.82461200000000001</v>
      </c>
      <c r="Y48" s="234">
        <v>0.85809500000000005</v>
      </c>
      <c r="Z48" s="234">
        <v>0.66470200000000002</v>
      </c>
      <c r="AA48" s="234">
        <v>0.72555499999999995</v>
      </c>
      <c r="AB48" s="234">
        <v>0.87161100000000002</v>
      </c>
      <c r="AC48" s="234">
        <v>0.72165000000000001</v>
      </c>
      <c r="AD48" s="234">
        <v>0.70674700000000001</v>
      </c>
      <c r="AE48" s="234">
        <v>0.71049600000000002</v>
      </c>
      <c r="AF48" s="234">
        <v>0.80489900000000003</v>
      </c>
      <c r="AG48" s="234">
        <v>0.74132299999999995</v>
      </c>
      <c r="AH48" s="234">
        <v>1.059958</v>
      </c>
      <c r="AI48" s="234">
        <v>1.1616150000000001</v>
      </c>
      <c r="AJ48" s="234">
        <v>1.059698</v>
      </c>
      <c r="AK48" s="234">
        <v>1.220742</v>
      </c>
      <c r="AL48" s="234">
        <v>1.102317</v>
      </c>
      <c r="AM48" s="234">
        <v>1.0597479999999999</v>
      </c>
      <c r="AN48" s="234">
        <v>1.0743499999999999</v>
      </c>
      <c r="AO48" s="234">
        <v>1.074379</v>
      </c>
      <c r="AP48" s="234">
        <v>1.358984</v>
      </c>
      <c r="AQ48" s="234">
        <v>1.362269</v>
      </c>
      <c r="AR48" s="234">
        <v>1.2688550000000001</v>
      </c>
      <c r="AS48" s="234">
        <v>1.358978</v>
      </c>
      <c r="AT48" s="234">
        <v>1.407235</v>
      </c>
      <c r="AU48" s="234">
        <v>1.312851</v>
      </c>
      <c r="AV48" s="234">
        <v>1.4070499999999999</v>
      </c>
      <c r="AW48" s="234">
        <v>1.3455269999999999</v>
      </c>
      <c r="AX48" s="234">
        <v>1.3000419999999999</v>
      </c>
      <c r="AY48" s="234">
        <v>1.4376739999999999</v>
      </c>
      <c r="AZ48" s="234">
        <v>1.314343</v>
      </c>
      <c r="BA48" s="234">
        <v>1.3459700000000001</v>
      </c>
      <c r="BB48" s="235"/>
      <c r="BC48" s="234">
        <v>1.284856</v>
      </c>
      <c r="BD48" s="234">
        <v>1.3406910000000001</v>
      </c>
      <c r="BE48" s="234">
        <v>1.35815</v>
      </c>
      <c r="BF48" s="234">
        <v>1.2849969999999999</v>
      </c>
      <c r="BG48" s="234">
        <v>1.306027</v>
      </c>
      <c r="BH48" s="234">
        <v>1.326786</v>
      </c>
      <c r="BI48" s="234">
        <v>1.410647</v>
      </c>
      <c r="BJ48" s="234">
        <v>1.3161929999999999</v>
      </c>
      <c r="BK48" s="234">
        <v>1.3102100000000001</v>
      </c>
      <c r="BL48" s="234">
        <v>1.328322</v>
      </c>
      <c r="BM48" s="234">
        <v>1.346722</v>
      </c>
      <c r="BN48" s="234">
        <v>1.337504</v>
      </c>
      <c r="BO48" s="234">
        <v>3.6231749999999998</v>
      </c>
      <c r="BP48" s="234">
        <v>3.9550230000000002</v>
      </c>
      <c r="BQ48" s="234">
        <v>4.0006079999999997</v>
      </c>
      <c r="BR48" s="234">
        <v>3.6223860000000001</v>
      </c>
      <c r="BS48" s="234">
        <v>3.667154</v>
      </c>
      <c r="BT48" s="234">
        <v>3.7104159999999999</v>
      </c>
      <c r="BU48" s="234">
        <v>3.9026179999999999</v>
      </c>
      <c r="BV48" s="234">
        <v>3.6893850000000001</v>
      </c>
      <c r="BW48" s="234">
        <v>3.6875070000000001</v>
      </c>
      <c r="BX48" s="234">
        <v>3.7247469999999998</v>
      </c>
      <c r="BY48" s="234">
        <v>3.7628249999999999</v>
      </c>
      <c r="BZ48" s="234">
        <v>3.7439819999999999</v>
      </c>
      <c r="CA48" s="234">
        <v>0.39467999999999998</v>
      </c>
      <c r="CB48" s="234">
        <v>0.39613500000000001</v>
      </c>
      <c r="CC48" s="234">
        <v>0.392592</v>
      </c>
      <c r="CD48" s="234">
        <v>0.428263</v>
      </c>
      <c r="CE48" s="234">
        <v>0.42060199999999998</v>
      </c>
      <c r="CF48" s="234">
        <v>0.39385799999999999</v>
      </c>
      <c r="CG48" s="234">
        <v>0.39477400000000001</v>
      </c>
      <c r="CH48" s="234">
        <v>0.393816</v>
      </c>
      <c r="CI48" s="234">
        <v>1.3585739999999999</v>
      </c>
      <c r="CJ48" s="234">
        <v>1.4024190000000001</v>
      </c>
      <c r="CK48" s="234">
        <v>1.4213910000000001</v>
      </c>
      <c r="CL48" s="234">
        <v>1.3587039999999999</v>
      </c>
      <c r="CM48" s="234">
        <v>1.3808279999999999</v>
      </c>
      <c r="CN48" s="234">
        <v>1.403302</v>
      </c>
      <c r="CO48" s="234">
        <v>1.4737229999999999</v>
      </c>
      <c r="CP48" s="234">
        <v>1.391888</v>
      </c>
      <c r="CQ48" s="234">
        <v>1.3863369999999999</v>
      </c>
      <c r="CR48" s="234">
        <v>1.4047240000000001</v>
      </c>
      <c r="CS48" s="234">
        <v>1.423951</v>
      </c>
      <c r="CT48" s="234">
        <v>1.414172</v>
      </c>
      <c r="CU48" s="234">
        <v>2.5678529999999999</v>
      </c>
      <c r="CV48" s="234">
        <v>2.5710839999999999</v>
      </c>
      <c r="CW48" s="234">
        <v>2.8975939999999998</v>
      </c>
      <c r="CX48" s="234">
        <v>2.558122</v>
      </c>
      <c r="CY48" s="234">
        <v>2.7172800000000001</v>
      </c>
      <c r="CZ48" s="234">
        <v>2.7730739999999998</v>
      </c>
      <c r="DA48" s="234">
        <v>2.9424510000000001</v>
      </c>
      <c r="DB48" s="234">
        <v>2.5518459999999998</v>
      </c>
      <c r="DC48" s="234">
        <v>0.86887999999999999</v>
      </c>
      <c r="DD48" s="234">
        <v>0.86891700000000005</v>
      </c>
      <c r="DE48" s="234">
        <v>0.86871200000000004</v>
      </c>
      <c r="DF48" s="234">
        <v>0.87768199999999996</v>
      </c>
      <c r="DG48" s="234">
        <v>0.87644999999999995</v>
      </c>
      <c r="DH48" s="234">
        <v>0.86874099999999999</v>
      </c>
      <c r="DI48" s="234">
        <v>0.86888799999999999</v>
      </c>
      <c r="DJ48" s="234">
        <v>0.86875199999999997</v>
      </c>
      <c r="DK48" s="236"/>
      <c r="DL48" s="234">
        <v>20.3626</v>
      </c>
      <c r="DM48" s="234">
        <v>115.87341273084598</v>
      </c>
      <c r="DN48" s="234">
        <v>154.00036360998314</v>
      </c>
      <c r="DO48" s="234">
        <v>167.05460409479403</v>
      </c>
      <c r="DP48" s="234">
        <v>7.4228079999999999</v>
      </c>
      <c r="DQ48" s="234">
        <v>174.04736713983561</v>
      </c>
      <c r="DR48" s="234">
        <v>188.7875908326597</v>
      </c>
      <c r="DS48" s="234">
        <v>6.076108529822986</v>
      </c>
      <c r="DT48" s="234">
        <v>6.9180313331024017</v>
      </c>
      <c r="DU48" s="237"/>
      <c r="DV48" s="238">
        <v>48144.33</v>
      </c>
      <c r="DW48" s="238">
        <v>4130.29</v>
      </c>
      <c r="DX48" s="238">
        <v>84103.443154000008</v>
      </c>
      <c r="DY48" s="238">
        <v>12947.98</v>
      </c>
      <c r="DZ48" s="238">
        <v>263654.53754799999</v>
      </c>
      <c r="EB48" s="239">
        <v>44771</v>
      </c>
      <c r="EC48" s="239">
        <v>44804</v>
      </c>
    </row>
    <row r="49" spans="1:133" x14ac:dyDescent="0.35">
      <c r="A49" s="233">
        <v>44804</v>
      </c>
      <c r="B49" s="234">
        <v>2.9673440000000002</v>
      </c>
      <c r="C49" s="234">
        <v>3.4297970000000002</v>
      </c>
      <c r="D49" s="234">
        <v>2.9673419999999999</v>
      </c>
      <c r="E49" s="234">
        <v>3.5559080000000001</v>
      </c>
      <c r="F49" s="234">
        <v>3.1129579999999999</v>
      </c>
      <c r="G49" s="234">
        <v>3.0298530000000001</v>
      </c>
      <c r="H49" s="234">
        <v>2.9782799999999998</v>
      </c>
      <c r="I49" s="234">
        <v>3.0411999999999999</v>
      </c>
      <c r="J49" s="234">
        <v>2.6507619999999998</v>
      </c>
      <c r="K49" s="234">
        <v>2.8014549999999998</v>
      </c>
      <c r="L49" s="234">
        <v>5.1634200000000003</v>
      </c>
      <c r="M49" s="234">
        <v>0</v>
      </c>
      <c r="N49" s="234">
        <v>6.0088949999999999</v>
      </c>
      <c r="O49" s="234">
        <v>6.1753479999999996</v>
      </c>
      <c r="P49" s="234">
        <v>5.1634159999999998</v>
      </c>
      <c r="Q49" s="234">
        <v>6.3134779999999999</v>
      </c>
      <c r="R49" s="234">
        <v>5.4829100000000004</v>
      </c>
      <c r="S49" s="234">
        <v>5.3760149999999998</v>
      </c>
      <c r="T49" s="234">
        <v>5.6772999999999998</v>
      </c>
      <c r="U49" s="234">
        <v>5.7399649999999998</v>
      </c>
      <c r="V49" s="234">
        <v>5.8936989999999998</v>
      </c>
      <c r="W49" s="234">
        <v>0.66808699999999999</v>
      </c>
      <c r="X49" s="234">
        <v>0.82947899999999997</v>
      </c>
      <c r="Y49" s="234">
        <v>0.86337299999999995</v>
      </c>
      <c r="Z49" s="234">
        <v>0.66808699999999999</v>
      </c>
      <c r="AA49" s="234">
        <v>0.72961399999999998</v>
      </c>
      <c r="AB49" s="234">
        <v>0.87779300000000005</v>
      </c>
      <c r="AC49" s="234">
        <v>0.72658199999999995</v>
      </c>
      <c r="AD49" s="234">
        <v>0.71090100000000001</v>
      </c>
      <c r="AE49" s="234">
        <v>0.71429399999999998</v>
      </c>
      <c r="AF49" s="234">
        <v>0.80980600000000003</v>
      </c>
      <c r="AG49" s="234">
        <v>0.74559699999999995</v>
      </c>
      <c r="AH49" s="234">
        <v>1.0494859999999999</v>
      </c>
      <c r="AI49" s="234">
        <v>1.1501520000000001</v>
      </c>
      <c r="AJ49" s="234">
        <v>1.049229</v>
      </c>
      <c r="AK49" s="234">
        <v>1.2099439999999999</v>
      </c>
      <c r="AL49" s="234">
        <v>1.0923419999999999</v>
      </c>
      <c r="AM49" s="234">
        <v>1.0492779999999999</v>
      </c>
      <c r="AN49" s="234">
        <v>1.063736</v>
      </c>
      <c r="AO49" s="234">
        <v>1.0637639999999999</v>
      </c>
      <c r="AP49" s="234">
        <v>1.367275</v>
      </c>
      <c r="AQ49" s="234">
        <v>1.3709960000000001</v>
      </c>
      <c r="AR49" s="234">
        <v>1.275962</v>
      </c>
      <c r="AS49" s="234">
        <v>1.3672690000000001</v>
      </c>
      <c r="AT49" s="234">
        <v>1.4161710000000001</v>
      </c>
      <c r="AU49" s="234">
        <v>1.320532</v>
      </c>
      <c r="AV49" s="234">
        <v>1.4170450000000001</v>
      </c>
      <c r="AW49" s="234">
        <v>1.354735</v>
      </c>
      <c r="AX49" s="234">
        <v>1.3073809999999999</v>
      </c>
      <c r="AY49" s="234">
        <v>1.4468620000000001</v>
      </c>
      <c r="AZ49" s="234">
        <v>1.322684</v>
      </c>
      <c r="BA49" s="234">
        <v>1.354571</v>
      </c>
      <c r="BB49" s="235"/>
      <c r="BC49" s="234">
        <v>1.2610509999999999</v>
      </c>
      <c r="BD49" s="234">
        <v>1.3162450000000001</v>
      </c>
      <c r="BE49" s="234">
        <v>1.33372</v>
      </c>
      <c r="BF49" s="234">
        <v>1.26119</v>
      </c>
      <c r="BG49" s="234">
        <v>1.282159</v>
      </c>
      <c r="BH49" s="234">
        <v>1.302861</v>
      </c>
      <c r="BI49" s="234">
        <v>1.3870150000000001</v>
      </c>
      <c r="BJ49" s="234">
        <v>1.2922929999999999</v>
      </c>
      <c r="BK49" s="234">
        <v>1.2864180000000001</v>
      </c>
      <c r="BL49" s="234">
        <v>1.304481</v>
      </c>
      <c r="BM49" s="234">
        <v>1.3228409999999999</v>
      </c>
      <c r="BN49" s="234">
        <v>1.313644</v>
      </c>
      <c r="BO49" s="234">
        <v>3.4819420000000001</v>
      </c>
      <c r="BP49" s="234">
        <v>3.801895</v>
      </c>
      <c r="BQ49" s="234">
        <v>3.8466610000000001</v>
      </c>
      <c r="BR49" s="234">
        <v>3.4811839999999998</v>
      </c>
      <c r="BS49" s="234">
        <v>3.5251109999999999</v>
      </c>
      <c r="BT49" s="234">
        <v>3.5675759999999999</v>
      </c>
      <c r="BU49" s="234">
        <v>3.7565629999999999</v>
      </c>
      <c r="BV49" s="234">
        <v>3.5469349999999999</v>
      </c>
      <c r="BW49" s="234">
        <v>3.5451299999999999</v>
      </c>
      <c r="BX49" s="234">
        <v>3.5816659999999998</v>
      </c>
      <c r="BY49" s="234">
        <v>3.6190739999999999</v>
      </c>
      <c r="BZ49" s="234">
        <v>3.6005669999999999</v>
      </c>
      <c r="CA49" s="234">
        <v>0.37513200000000002</v>
      </c>
      <c r="CB49" s="234">
        <v>0.37651699999999999</v>
      </c>
      <c r="CC49" s="234">
        <v>0.37314799999999998</v>
      </c>
      <c r="CD49" s="234">
        <v>0.40775600000000001</v>
      </c>
      <c r="CE49" s="234">
        <v>0.40038099999999999</v>
      </c>
      <c r="CF49" s="234">
        <v>0.37435200000000002</v>
      </c>
      <c r="CG49" s="234">
        <v>0.375222</v>
      </c>
      <c r="CH49" s="234">
        <v>0.37431599999999998</v>
      </c>
      <c r="CI49" s="234">
        <v>1.3187390000000001</v>
      </c>
      <c r="CJ49" s="234">
        <v>1.3616839999999999</v>
      </c>
      <c r="CK49" s="234">
        <v>1.3804620000000001</v>
      </c>
      <c r="CL49" s="234">
        <v>1.318864</v>
      </c>
      <c r="CM49" s="234">
        <v>1.340684</v>
      </c>
      <c r="CN49" s="234">
        <v>1.362854</v>
      </c>
      <c r="CO49" s="234">
        <v>1.432785</v>
      </c>
      <c r="CP49" s="234">
        <v>1.351596</v>
      </c>
      <c r="CQ49" s="234">
        <v>1.346206</v>
      </c>
      <c r="CR49" s="234">
        <v>1.3643559999999999</v>
      </c>
      <c r="CS49" s="234">
        <v>1.3833340000000001</v>
      </c>
      <c r="CT49" s="234">
        <v>1.373686</v>
      </c>
      <c r="CU49" s="234">
        <v>2.4200010000000001</v>
      </c>
      <c r="CV49" s="234">
        <v>2.4230489999999998</v>
      </c>
      <c r="CW49" s="234">
        <v>2.7377129999999998</v>
      </c>
      <c r="CX49" s="234">
        <v>2.4104510000000001</v>
      </c>
      <c r="CY49" s="234">
        <v>2.5639799999999999</v>
      </c>
      <c r="CZ49" s="234">
        <v>2.6175130000000002</v>
      </c>
      <c r="DA49" s="234">
        <v>2.7811539999999999</v>
      </c>
      <c r="DB49" s="234">
        <v>2.4045200000000002</v>
      </c>
      <c r="DC49" s="234">
        <v>0.81676599999999999</v>
      </c>
      <c r="DD49" s="234">
        <v>0.81679999999999997</v>
      </c>
      <c r="DE49" s="234">
        <v>0.81660600000000005</v>
      </c>
      <c r="DF49" s="234">
        <v>0.82646900000000001</v>
      </c>
      <c r="DG49" s="234">
        <v>0.82513899999999996</v>
      </c>
      <c r="DH49" s="234">
        <v>0.81663399999999997</v>
      </c>
      <c r="DI49" s="234">
        <v>0.81677500000000003</v>
      </c>
      <c r="DJ49" s="234">
        <v>0.81664400000000004</v>
      </c>
      <c r="DK49" s="236"/>
      <c r="DL49" s="234">
        <v>20.1432</v>
      </c>
      <c r="DM49" s="234">
        <v>116.08584732085254</v>
      </c>
      <c r="DN49" s="234">
        <v>154.89536238982984</v>
      </c>
      <c r="DO49" s="234">
        <v>168.03772043989187</v>
      </c>
      <c r="DP49" s="234">
        <v>7.475263</v>
      </c>
      <c r="DQ49" s="234">
        <v>175.39072273520989</v>
      </c>
      <c r="DR49" s="234">
        <v>190.25856081123084</v>
      </c>
      <c r="DS49" s="234">
        <v>6.1217360541429366</v>
      </c>
      <c r="DT49" s="234">
        <v>6.9704884586908733</v>
      </c>
      <c r="DU49" s="237"/>
      <c r="DV49" s="238">
        <v>44919.22</v>
      </c>
      <c r="DW49" s="238">
        <v>3955</v>
      </c>
      <c r="DX49" s="238">
        <v>79666.356</v>
      </c>
      <c r="DY49" s="238">
        <v>12272.03</v>
      </c>
      <c r="DZ49" s="238">
        <v>247197.95469600003</v>
      </c>
      <c r="EB49" s="239">
        <v>44804</v>
      </c>
      <c r="EC49" s="239">
        <v>44834</v>
      </c>
    </row>
    <row r="50" spans="1:133" x14ac:dyDescent="0.35">
      <c r="A50" s="233">
        <v>44834</v>
      </c>
      <c r="B50" s="234">
        <v>2.9544250000000001</v>
      </c>
      <c r="C50" s="234">
        <v>3.4151210000000001</v>
      </c>
      <c r="D50" s="234">
        <v>2.9544229999999998</v>
      </c>
      <c r="E50" s="234">
        <v>3.5450159999999999</v>
      </c>
      <c r="F50" s="234">
        <v>3.1025700000000001</v>
      </c>
      <c r="G50" s="234">
        <v>3.0168149999999998</v>
      </c>
      <c r="H50" s="234">
        <v>2.9653139999999998</v>
      </c>
      <c r="I50" s="234">
        <v>3.0281039999999999</v>
      </c>
      <c r="J50" s="234">
        <v>2.6682130000000002</v>
      </c>
      <c r="K50" s="234">
        <v>2.8201239999999999</v>
      </c>
      <c r="L50" s="234">
        <v>5.1936119999999999</v>
      </c>
      <c r="M50" s="234">
        <v>0</v>
      </c>
      <c r="N50" s="234">
        <v>6.0445000000000002</v>
      </c>
      <c r="O50" s="234">
        <v>6.2198409999999997</v>
      </c>
      <c r="P50" s="234">
        <v>5.1936080000000002</v>
      </c>
      <c r="Q50" s="234">
        <v>6.3602569999999998</v>
      </c>
      <c r="R50" s="234">
        <v>5.522011</v>
      </c>
      <c r="S50" s="234">
        <v>5.40787</v>
      </c>
      <c r="T50" s="234">
        <v>5.7148950000000003</v>
      </c>
      <c r="U50" s="234">
        <v>5.7809189999999999</v>
      </c>
      <c r="V50" s="234">
        <v>5.9331490000000002</v>
      </c>
      <c r="W50" s="234">
        <v>0.67179299999999997</v>
      </c>
      <c r="X50" s="234">
        <v>0.83477400000000002</v>
      </c>
      <c r="Y50" s="234">
        <v>0.86910500000000002</v>
      </c>
      <c r="Z50" s="234">
        <v>0.671794</v>
      </c>
      <c r="AA50" s="234">
        <v>0.734039</v>
      </c>
      <c r="AB50" s="234">
        <v>0.88447500000000001</v>
      </c>
      <c r="AC50" s="234">
        <v>0.73191799999999996</v>
      </c>
      <c r="AD50" s="234">
        <v>0.71542099999999997</v>
      </c>
      <c r="AE50" s="234">
        <v>0.71844300000000005</v>
      </c>
      <c r="AF50" s="234">
        <v>0.815137</v>
      </c>
      <c r="AG50" s="234">
        <v>0.75024299999999999</v>
      </c>
      <c r="AH50" s="234">
        <v>1.050122</v>
      </c>
      <c r="AI50" s="234">
        <v>1.1508609999999999</v>
      </c>
      <c r="AJ50" s="234">
        <v>1.049865</v>
      </c>
      <c r="AK50" s="234">
        <v>1.211983</v>
      </c>
      <c r="AL50" s="234">
        <v>1.0939490000000001</v>
      </c>
      <c r="AM50" s="234">
        <v>1.049914</v>
      </c>
      <c r="AN50" s="234">
        <v>1.064381</v>
      </c>
      <c r="AO50" s="234">
        <v>1.064406</v>
      </c>
      <c r="AP50" s="234">
        <v>1.3761540000000001</v>
      </c>
      <c r="AQ50" s="234">
        <v>1.380333</v>
      </c>
      <c r="AR50" s="234">
        <v>1.2835890000000001</v>
      </c>
      <c r="AS50" s="234">
        <v>1.3761479999999999</v>
      </c>
      <c r="AT50" s="234">
        <v>1.4257329999999999</v>
      </c>
      <c r="AU50" s="234">
        <v>1.328767</v>
      </c>
      <c r="AV50" s="234">
        <v>1.4277169999999999</v>
      </c>
      <c r="AW50" s="234">
        <v>1.3645719999999999</v>
      </c>
      <c r="AX50" s="234">
        <v>1.315256</v>
      </c>
      <c r="AY50" s="234">
        <v>1.45669</v>
      </c>
      <c r="AZ50" s="234">
        <v>1.331609</v>
      </c>
      <c r="BA50" s="234">
        <v>1.3637710000000001</v>
      </c>
      <c r="BB50" s="235"/>
      <c r="BC50" s="234">
        <v>1.2210559999999999</v>
      </c>
      <c r="BD50" s="234">
        <v>1.274894</v>
      </c>
      <c r="BE50" s="234">
        <v>1.2921480000000001</v>
      </c>
      <c r="BF50" s="234">
        <v>1.22119</v>
      </c>
      <c r="BG50" s="234">
        <v>1.241824</v>
      </c>
      <c r="BH50" s="234">
        <v>1.2621960000000001</v>
      </c>
      <c r="BI50" s="234">
        <v>1.345532</v>
      </c>
      <c r="BJ50" s="234">
        <v>1.251792</v>
      </c>
      <c r="BK50" s="234">
        <v>1.246102</v>
      </c>
      <c r="BL50" s="234">
        <v>1.263881</v>
      </c>
      <c r="BM50" s="234">
        <v>1.2819579999999999</v>
      </c>
      <c r="BN50" s="234">
        <v>1.2729060000000001</v>
      </c>
      <c r="BO50" s="234">
        <v>3.255843</v>
      </c>
      <c r="BP50" s="234">
        <v>3.556028</v>
      </c>
      <c r="BQ50" s="234">
        <v>3.5988099999999998</v>
      </c>
      <c r="BR50" s="234">
        <v>3.255134</v>
      </c>
      <c r="BS50" s="234">
        <v>3.2970820000000001</v>
      </c>
      <c r="BT50" s="234">
        <v>3.3376489999999999</v>
      </c>
      <c r="BU50" s="234">
        <v>3.5185</v>
      </c>
      <c r="BV50" s="234">
        <v>3.317933</v>
      </c>
      <c r="BW50" s="234">
        <v>3.3162440000000002</v>
      </c>
      <c r="BX50" s="234">
        <v>3.3511410000000001</v>
      </c>
      <c r="BY50" s="234">
        <v>3.3868960000000001</v>
      </c>
      <c r="BZ50" s="234">
        <v>3.3692009999999999</v>
      </c>
      <c r="CA50" s="234">
        <v>0.34208300000000003</v>
      </c>
      <c r="CB50" s="234">
        <v>0.34334700000000001</v>
      </c>
      <c r="CC50" s="234">
        <v>0.34015299999999998</v>
      </c>
      <c r="CD50" s="234">
        <v>0.37249700000000002</v>
      </c>
      <c r="CE50" s="234">
        <v>0.36555500000000002</v>
      </c>
      <c r="CF50" s="234">
        <v>0.34125299999999997</v>
      </c>
      <c r="CG50" s="234">
        <v>0.342165</v>
      </c>
      <c r="CH50" s="234">
        <v>0.341221</v>
      </c>
      <c r="CI50" s="234">
        <v>1.2514799999999999</v>
      </c>
      <c r="CJ50" s="234">
        <v>1.2926150000000001</v>
      </c>
      <c r="CK50" s="234">
        <v>1.3107819999999999</v>
      </c>
      <c r="CL50" s="234">
        <v>1.2515989999999999</v>
      </c>
      <c r="CM50" s="234">
        <v>1.272643</v>
      </c>
      <c r="CN50" s="234">
        <v>1.2940309999999999</v>
      </c>
      <c r="CO50" s="234">
        <v>1.3619410000000001</v>
      </c>
      <c r="CP50" s="234">
        <v>1.2831710000000001</v>
      </c>
      <c r="CQ50" s="234">
        <v>1.278054</v>
      </c>
      <c r="CR50" s="234">
        <v>1.2955749999999999</v>
      </c>
      <c r="CS50" s="234">
        <v>1.3138860000000001</v>
      </c>
      <c r="CT50" s="234">
        <v>1.304573</v>
      </c>
      <c r="CU50" s="234">
        <v>2.388029</v>
      </c>
      <c r="CV50" s="234">
        <v>2.3910490000000002</v>
      </c>
      <c r="CW50" s="234">
        <v>2.7089240000000001</v>
      </c>
      <c r="CX50" s="234">
        <v>2.3784540000000001</v>
      </c>
      <c r="CY50" s="234">
        <v>2.5333269999999999</v>
      </c>
      <c r="CZ50" s="234">
        <v>2.587383</v>
      </c>
      <c r="DA50" s="234">
        <v>2.7527059999999999</v>
      </c>
      <c r="DB50" s="234">
        <v>2.3725849999999999</v>
      </c>
      <c r="DC50" s="234">
        <v>0.72902599999999995</v>
      </c>
      <c r="DD50" s="234">
        <v>0.72906000000000004</v>
      </c>
      <c r="DE50" s="234">
        <v>0.72877899999999995</v>
      </c>
      <c r="DF50" s="234">
        <v>0.73900699999999997</v>
      </c>
      <c r="DG50" s="234">
        <v>0.73755499999999996</v>
      </c>
      <c r="DH50" s="234">
        <v>0.72880500000000004</v>
      </c>
      <c r="DI50" s="234">
        <v>0.72903399999999996</v>
      </c>
      <c r="DJ50" s="234">
        <v>0.72881600000000002</v>
      </c>
      <c r="DK50" s="236"/>
      <c r="DL50" s="234">
        <v>20.127099999999999</v>
      </c>
      <c r="DM50" s="234">
        <v>116.28899755366402</v>
      </c>
      <c r="DN50" s="234">
        <v>155.75245006172025</v>
      </c>
      <c r="DO50" s="234">
        <v>168.97873167435526</v>
      </c>
      <c r="DP50" s="234">
        <v>7.5291829999999997</v>
      </c>
      <c r="DQ50" s="234">
        <v>176.67838295795755</v>
      </c>
      <c r="DR50" s="234">
        <v>191.66805964924069</v>
      </c>
      <c r="DS50" s="234">
        <v>6.1661696550025908</v>
      </c>
      <c r="DT50" s="234">
        <v>7.021547286650784</v>
      </c>
      <c r="DU50" s="237"/>
      <c r="DV50" s="238">
        <v>44626.8</v>
      </c>
      <c r="DW50" s="238">
        <v>3585.62</v>
      </c>
      <c r="DX50" s="238">
        <v>72168.132301999998</v>
      </c>
      <c r="DY50" s="238">
        <v>10971.22</v>
      </c>
      <c r="DZ50" s="238">
        <v>220818.84206199998</v>
      </c>
      <c r="EB50" s="239">
        <v>44834</v>
      </c>
      <c r="EC50" s="239">
        <v>44865</v>
      </c>
    </row>
    <row r="51" spans="1:133" x14ac:dyDescent="0.35">
      <c r="A51" s="233">
        <v>44865</v>
      </c>
      <c r="B51" s="234">
        <v>2.9640599999999999</v>
      </c>
      <c r="C51" s="234">
        <v>3.4264939999999999</v>
      </c>
      <c r="D51" s="234">
        <v>2.9640580000000001</v>
      </c>
      <c r="E51" s="234">
        <v>3.5607570000000002</v>
      </c>
      <c r="F51" s="234">
        <v>3.1155689999999998</v>
      </c>
      <c r="G51" s="234">
        <v>3.0267909999999998</v>
      </c>
      <c r="H51" s="234">
        <v>2.9749850000000002</v>
      </c>
      <c r="I51" s="234">
        <v>3.0380919999999998</v>
      </c>
      <c r="J51" s="234">
        <v>2.6857500000000001</v>
      </c>
      <c r="K51" s="234">
        <v>2.8388640000000001</v>
      </c>
      <c r="L51" s="234">
        <v>5.2248789999999996</v>
      </c>
      <c r="M51" s="234">
        <v>0</v>
      </c>
      <c r="N51" s="234">
        <v>6.0813189999999997</v>
      </c>
      <c r="O51" s="234">
        <v>6.2649419999999996</v>
      </c>
      <c r="P51" s="234">
        <v>5.2248760000000001</v>
      </c>
      <c r="Q51" s="234">
        <v>6.4075740000000003</v>
      </c>
      <c r="R51" s="234">
        <v>5.5616830000000004</v>
      </c>
      <c r="S51" s="234">
        <v>5.4408110000000001</v>
      </c>
      <c r="T51" s="234">
        <v>5.7533139999999996</v>
      </c>
      <c r="U51" s="234">
        <v>5.8224689999999999</v>
      </c>
      <c r="V51" s="234">
        <v>5.973427</v>
      </c>
      <c r="W51" s="234">
        <v>0.67562599999999995</v>
      </c>
      <c r="X51" s="234">
        <v>0.84016900000000005</v>
      </c>
      <c r="Y51" s="234">
        <v>0.87492300000000001</v>
      </c>
      <c r="Z51" s="234">
        <v>0.67562599999999995</v>
      </c>
      <c r="AA51" s="234">
        <v>0.73856999999999995</v>
      </c>
      <c r="AB51" s="234">
        <v>0.89117599999999997</v>
      </c>
      <c r="AC51" s="234">
        <v>0.73728499999999997</v>
      </c>
      <c r="AD51" s="234">
        <v>0.72002500000000003</v>
      </c>
      <c r="AE51" s="234">
        <v>0.72270999999999996</v>
      </c>
      <c r="AF51" s="234">
        <v>0.82055199999999995</v>
      </c>
      <c r="AG51" s="234">
        <v>0.75498699999999996</v>
      </c>
      <c r="AH51" s="234">
        <v>1.0353920000000001</v>
      </c>
      <c r="AI51" s="234">
        <v>1.134728</v>
      </c>
      <c r="AJ51" s="234">
        <v>1.0351379999999999</v>
      </c>
      <c r="AK51" s="234">
        <v>1.1961489999999999</v>
      </c>
      <c r="AL51" s="234">
        <v>1.07945</v>
      </c>
      <c r="AM51" s="234">
        <v>1.0351870000000001</v>
      </c>
      <c r="AN51" s="234">
        <v>1.04945</v>
      </c>
      <c r="AO51" s="234">
        <v>1.0494730000000001</v>
      </c>
      <c r="AP51" s="234">
        <v>1.3853059999999999</v>
      </c>
      <c r="AQ51" s="234">
        <v>1.3899090000000001</v>
      </c>
      <c r="AR51" s="234">
        <v>1.291525</v>
      </c>
      <c r="AS51" s="234">
        <v>1.3853</v>
      </c>
      <c r="AT51" s="234">
        <v>1.435549</v>
      </c>
      <c r="AU51" s="234">
        <v>1.3372930000000001</v>
      </c>
      <c r="AV51" s="234">
        <v>1.4385520000000001</v>
      </c>
      <c r="AW51" s="234">
        <v>1.3745970000000001</v>
      </c>
      <c r="AX51" s="234">
        <v>1.3234379999999999</v>
      </c>
      <c r="AY51" s="234">
        <v>1.4667680000000001</v>
      </c>
      <c r="AZ51" s="234">
        <v>1.3407720000000001</v>
      </c>
      <c r="BA51" s="234">
        <v>1.373203</v>
      </c>
      <c r="BB51" s="235"/>
      <c r="BC51" s="234">
        <v>1.247644</v>
      </c>
      <c r="BD51" s="234">
        <v>1.3030200000000001</v>
      </c>
      <c r="BE51" s="234">
        <v>1.3209580000000001</v>
      </c>
      <c r="BF51" s="234">
        <v>1.247781</v>
      </c>
      <c r="BG51" s="234">
        <v>1.2691699999999999</v>
      </c>
      <c r="BH51" s="234">
        <v>1.2902880000000001</v>
      </c>
      <c r="BI51" s="234">
        <v>1.377157</v>
      </c>
      <c r="BJ51" s="234">
        <v>1.2794989999999999</v>
      </c>
      <c r="BK51" s="234">
        <v>1.2736829999999999</v>
      </c>
      <c r="BL51" s="234">
        <v>1.292122</v>
      </c>
      <c r="BM51" s="234">
        <v>1.3108649999999999</v>
      </c>
      <c r="BN51" s="234">
        <v>1.301472</v>
      </c>
      <c r="BO51" s="234">
        <v>3.3818260000000002</v>
      </c>
      <c r="BP51" s="234">
        <v>3.6945779999999999</v>
      </c>
      <c r="BQ51" s="234">
        <v>3.7398799999999999</v>
      </c>
      <c r="BR51" s="234">
        <v>3.3810899999999999</v>
      </c>
      <c r="BS51" s="234">
        <v>3.4254820000000001</v>
      </c>
      <c r="BT51" s="234">
        <v>3.468429</v>
      </c>
      <c r="BU51" s="234">
        <v>3.66018</v>
      </c>
      <c r="BV51" s="234">
        <v>3.447559</v>
      </c>
      <c r="BW51" s="234">
        <v>3.4458030000000002</v>
      </c>
      <c r="BX51" s="234">
        <v>3.4827370000000002</v>
      </c>
      <c r="BY51" s="234">
        <v>3.520613</v>
      </c>
      <c r="BZ51" s="234">
        <v>3.5018720000000001</v>
      </c>
      <c r="CA51" s="234">
        <v>0.36183700000000002</v>
      </c>
      <c r="CB51" s="234">
        <v>0.36317500000000003</v>
      </c>
      <c r="CC51" s="234">
        <v>0.359796</v>
      </c>
      <c r="CD51" s="234">
        <v>0.39464500000000002</v>
      </c>
      <c r="CE51" s="234">
        <v>0.38721699999999998</v>
      </c>
      <c r="CF51" s="234">
        <v>0.36096</v>
      </c>
      <c r="CG51" s="234">
        <v>0.36192299999999999</v>
      </c>
      <c r="CH51" s="234">
        <v>0.36092200000000002</v>
      </c>
      <c r="CI51" s="234">
        <v>1.293606</v>
      </c>
      <c r="CJ51" s="234">
        <v>1.3364819999999999</v>
      </c>
      <c r="CK51" s="234">
        <v>1.355588</v>
      </c>
      <c r="CL51" s="234">
        <v>1.2937289999999999</v>
      </c>
      <c r="CM51" s="234">
        <v>1.3157970000000001</v>
      </c>
      <c r="CN51" s="234">
        <v>1.3382309999999999</v>
      </c>
      <c r="CO51" s="234">
        <v>1.4098790000000001</v>
      </c>
      <c r="CP51" s="234">
        <v>1.3268420000000001</v>
      </c>
      <c r="CQ51" s="234">
        <v>1.32155</v>
      </c>
      <c r="CR51" s="234">
        <v>1.3399399999999999</v>
      </c>
      <c r="CS51" s="234">
        <v>1.359148</v>
      </c>
      <c r="CT51" s="234">
        <v>1.349378</v>
      </c>
      <c r="CU51" s="234">
        <v>2.6345399999999999</v>
      </c>
      <c r="CV51" s="234">
        <v>2.6378849999999998</v>
      </c>
      <c r="CW51" s="234">
        <v>2.995879</v>
      </c>
      <c r="CX51" s="234">
        <v>2.6237569999999999</v>
      </c>
      <c r="CY51" s="234">
        <v>2.7980559999999999</v>
      </c>
      <c r="CZ51" s="234">
        <v>2.8588460000000002</v>
      </c>
      <c r="DA51" s="234">
        <v>3.0451730000000001</v>
      </c>
      <c r="DB51" s="234">
        <v>2.6172659999999999</v>
      </c>
      <c r="DC51" s="234">
        <v>0.74124599999999996</v>
      </c>
      <c r="DD51" s="234">
        <v>0.74127500000000002</v>
      </c>
      <c r="DE51" s="234">
        <v>0.74099499999999996</v>
      </c>
      <c r="DF51" s="234">
        <v>0.75261500000000003</v>
      </c>
      <c r="DG51" s="234">
        <v>0.75099099999999996</v>
      </c>
      <c r="DH51" s="234">
        <v>0.74102400000000002</v>
      </c>
      <c r="DI51" s="234">
        <v>0.74125399999999997</v>
      </c>
      <c r="DJ51" s="234">
        <v>0.741031</v>
      </c>
      <c r="DK51" s="236"/>
      <c r="DL51" s="234">
        <v>19.810300000000002</v>
      </c>
      <c r="DM51" s="234">
        <v>116.50329233415597</v>
      </c>
      <c r="DN51" s="234">
        <v>156.71543284879633</v>
      </c>
      <c r="DO51" s="234">
        <v>170.03513037853946</v>
      </c>
      <c r="DP51" s="234">
        <v>7.5697929999999998</v>
      </c>
      <c r="DQ51" s="234">
        <v>178.12066749083766</v>
      </c>
      <c r="DR51" s="234">
        <v>193.24591370917537</v>
      </c>
      <c r="DS51" s="234">
        <v>6.2131344574624086</v>
      </c>
      <c r="DT51" s="234">
        <v>7.0755108031933984</v>
      </c>
      <c r="DU51" s="237"/>
      <c r="DV51" s="238">
        <v>49922.3</v>
      </c>
      <c r="DW51" s="238">
        <v>3871.98</v>
      </c>
      <c r="DX51" s="238">
        <v>76705.085394000009</v>
      </c>
      <c r="DY51" s="238">
        <v>11405.57</v>
      </c>
      <c r="DZ51" s="238">
        <v>225947.76337100001</v>
      </c>
      <c r="EB51" s="239">
        <v>44865</v>
      </c>
      <c r="EC51" s="239">
        <v>44895</v>
      </c>
    </row>
    <row r="52" spans="1:133" x14ac:dyDescent="0.35">
      <c r="A52" s="233">
        <v>44895</v>
      </c>
      <c r="B52" s="234">
        <v>3.0174949999999998</v>
      </c>
      <c r="C52" s="234">
        <v>3.4885120000000001</v>
      </c>
      <c r="D52" s="234">
        <v>3.0174940000000001</v>
      </c>
      <c r="E52" s="234">
        <v>3.629356</v>
      </c>
      <c r="F52" s="234">
        <v>3.1747719999999999</v>
      </c>
      <c r="G52" s="234">
        <v>3.0815070000000002</v>
      </c>
      <c r="H52" s="234">
        <v>3.0286179999999998</v>
      </c>
      <c r="I52" s="234">
        <v>3.0930040000000001</v>
      </c>
      <c r="J52" s="234">
        <v>2.7042660000000001</v>
      </c>
      <c r="K52" s="234">
        <v>2.8586490000000002</v>
      </c>
      <c r="L52" s="234">
        <v>5.2596819999999997</v>
      </c>
      <c r="M52" s="234">
        <v>0</v>
      </c>
      <c r="N52" s="234">
        <v>6.1222760000000003</v>
      </c>
      <c r="O52" s="234">
        <v>6.3146560000000003</v>
      </c>
      <c r="P52" s="234">
        <v>5.2596780000000001</v>
      </c>
      <c r="Q52" s="234">
        <v>6.4596530000000003</v>
      </c>
      <c r="R52" s="234">
        <v>5.6054310000000003</v>
      </c>
      <c r="S52" s="234">
        <v>5.4774529999999997</v>
      </c>
      <c r="T52" s="234">
        <v>5.7958189999999998</v>
      </c>
      <c r="U52" s="234">
        <v>5.8682860000000003</v>
      </c>
      <c r="V52" s="234">
        <v>6.0179809999999998</v>
      </c>
      <c r="W52" s="234">
        <v>0.67979800000000001</v>
      </c>
      <c r="X52" s="234">
        <v>0.84601599999999999</v>
      </c>
      <c r="Y52" s="234">
        <v>0.88122199999999995</v>
      </c>
      <c r="Z52" s="234">
        <v>0.67979800000000001</v>
      </c>
      <c r="AA52" s="234">
        <v>0.74348999999999998</v>
      </c>
      <c r="AB52" s="234">
        <v>0.89840500000000001</v>
      </c>
      <c r="AC52" s="234">
        <v>0.74308099999999999</v>
      </c>
      <c r="AD52" s="234">
        <v>0.72501800000000005</v>
      </c>
      <c r="AE52" s="234">
        <v>0.72735000000000005</v>
      </c>
      <c r="AF52" s="234">
        <v>0.82641600000000004</v>
      </c>
      <c r="AG52" s="234">
        <v>0.76013799999999998</v>
      </c>
      <c r="AH52" s="234">
        <v>1.0111600000000001</v>
      </c>
      <c r="AI52" s="234">
        <v>1.1081829999999999</v>
      </c>
      <c r="AJ52" s="234">
        <v>1.010912</v>
      </c>
      <c r="AK52" s="234">
        <v>1.1693359999999999</v>
      </c>
      <c r="AL52" s="234">
        <v>1.055042</v>
      </c>
      <c r="AM52" s="234">
        <v>1.0109600000000001</v>
      </c>
      <c r="AN52" s="234">
        <v>1.0248889999999999</v>
      </c>
      <c r="AO52" s="234">
        <v>1.024912</v>
      </c>
      <c r="AP52" s="234">
        <v>1.3952359999999999</v>
      </c>
      <c r="AQ52" s="234">
        <v>1.4002840000000001</v>
      </c>
      <c r="AR52" s="234">
        <v>1.3001579999999999</v>
      </c>
      <c r="AS52" s="234">
        <v>1.39523</v>
      </c>
      <c r="AT52" s="234">
        <v>1.446186</v>
      </c>
      <c r="AU52" s="234">
        <v>1.3465549999999999</v>
      </c>
      <c r="AV52" s="234">
        <v>1.4502600000000001</v>
      </c>
      <c r="AW52" s="234">
        <v>1.38544</v>
      </c>
      <c r="AX52" s="234">
        <v>1.3323339999999999</v>
      </c>
      <c r="AY52" s="234">
        <v>1.477687</v>
      </c>
      <c r="AZ52" s="234">
        <v>1.3507020000000001</v>
      </c>
      <c r="BA52" s="234">
        <v>1.3834230000000001</v>
      </c>
      <c r="BB52" s="235"/>
      <c r="BC52" s="234">
        <v>1.2647740000000001</v>
      </c>
      <c r="BD52" s="234">
        <v>1.3212919999999999</v>
      </c>
      <c r="BE52" s="234">
        <v>1.3398000000000001</v>
      </c>
      <c r="BF52" s="234">
        <v>1.264913</v>
      </c>
      <c r="BG52" s="234">
        <v>1.286915</v>
      </c>
      <c r="BH52" s="234">
        <v>1.3086409999999999</v>
      </c>
      <c r="BI52" s="234">
        <v>1.3985080000000001</v>
      </c>
      <c r="BJ52" s="234">
        <v>1.2975369999999999</v>
      </c>
      <c r="BK52" s="234">
        <v>1.291641</v>
      </c>
      <c r="BL52" s="234">
        <v>1.3106070000000001</v>
      </c>
      <c r="BM52" s="234">
        <v>1.3299049999999999</v>
      </c>
      <c r="BN52" s="234">
        <v>1.320235</v>
      </c>
      <c r="BO52" s="234">
        <v>3.4291800000000001</v>
      </c>
      <c r="BP52" s="234">
        <v>3.7473109999999998</v>
      </c>
      <c r="BQ52" s="234">
        <v>3.7941660000000001</v>
      </c>
      <c r="BR52" s="234">
        <v>3.4284340000000002</v>
      </c>
      <c r="BS52" s="234">
        <v>3.4743089999999999</v>
      </c>
      <c r="BT52" s="234">
        <v>3.5187080000000002</v>
      </c>
      <c r="BU52" s="234">
        <v>3.7172450000000001</v>
      </c>
      <c r="BV52" s="234">
        <v>3.4971350000000001</v>
      </c>
      <c r="BW52" s="234">
        <v>3.4953539999999998</v>
      </c>
      <c r="BX52" s="234">
        <v>3.5335350000000001</v>
      </c>
      <c r="BY52" s="234">
        <v>3.572705</v>
      </c>
      <c r="BZ52" s="234">
        <v>3.5533109999999999</v>
      </c>
      <c r="CA52" s="234">
        <v>0.37098300000000001</v>
      </c>
      <c r="CB52" s="234">
        <v>0.37235699999999999</v>
      </c>
      <c r="CC52" s="234">
        <v>0.36889</v>
      </c>
      <c r="CD52" s="234">
        <v>0.40529700000000002</v>
      </c>
      <c r="CE52" s="234">
        <v>0.397592</v>
      </c>
      <c r="CF52" s="234">
        <v>0.37008600000000003</v>
      </c>
      <c r="CG52" s="234">
        <v>0.37107200000000001</v>
      </c>
      <c r="CH52" s="234">
        <v>0.37004599999999999</v>
      </c>
      <c r="CI52" s="234">
        <v>1.3154349999999999</v>
      </c>
      <c r="CJ52" s="234">
        <v>1.3594079999999999</v>
      </c>
      <c r="CK52" s="234">
        <v>1.3791770000000001</v>
      </c>
      <c r="CL52" s="234">
        <v>1.3155600000000001</v>
      </c>
      <c r="CM52" s="234">
        <v>1.338333</v>
      </c>
      <c r="CN52" s="234">
        <v>1.3614900000000001</v>
      </c>
      <c r="CO52" s="234">
        <v>1.4358759999999999</v>
      </c>
      <c r="CP52" s="234">
        <v>1.349734</v>
      </c>
      <c r="CQ52" s="234">
        <v>1.3443510000000001</v>
      </c>
      <c r="CR52" s="234">
        <v>1.363345</v>
      </c>
      <c r="CS52" s="234">
        <v>1.383178</v>
      </c>
      <c r="CT52" s="234">
        <v>1.3730880000000001</v>
      </c>
      <c r="CU52" s="234">
        <v>2.7390650000000001</v>
      </c>
      <c r="CV52" s="234">
        <v>2.7425470000000001</v>
      </c>
      <c r="CW52" s="234">
        <v>3.1218189999999999</v>
      </c>
      <c r="CX52" s="234">
        <v>2.7269009999999998</v>
      </c>
      <c r="CY52" s="234">
        <v>2.9125390000000002</v>
      </c>
      <c r="CZ52" s="234">
        <v>2.9761820000000001</v>
      </c>
      <c r="DA52" s="234">
        <v>3.1749079999999998</v>
      </c>
      <c r="DB52" s="234">
        <v>2.720145</v>
      </c>
      <c r="DC52" s="234">
        <v>0.76810900000000004</v>
      </c>
      <c r="DD52" s="234">
        <v>0.76814199999999999</v>
      </c>
      <c r="DE52" s="234">
        <v>0.76784600000000003</v>
      </c>
      <c r="DF52" s="234">
        <v>0.78120199999999995</v>
      </c>
      <c r="DG52" s="234">
        <v>0.77935600000000005</v>
      </c>
      <c r="DH52" s="234">
        <v>0.76788199999999995</v>
      </c>
      <c r="DI52" s="234">
        <v>0.76811700000000005</v>
      </c>
      <c r="DJ52" s="234">
        <v>0.76788900000000004</v>
      </c>
      <c r="DK52" s="236"/>
      <c r="DL52" s="234">
        <v>19.3081</v>
      </c>
      <c r="DM52" s="234">
        <v>116.71882342497415</v>
      </c>
      <c r="DN52" s="234">
        <v>157.70404603768415</v>
      </c>
      <c r="DO52" s="234">
        <v>171.11910433470266</v>
      </c>
      <c r="DP52" s="234">
        <v>7.6160819999999996</v>
      </c>
      <c r="DQ52" s="234">
        <v>179.59313167542859</v>
      </c>
      <c r="DR52" s="234">
        <v>194.85629632341849</v>
      </c>
      <c r="DS52" s="234">
        <v>6.261741879367956</v>
      </c>
      <c r="DT52" s="234">
        <v>7.1313365834305937</v>
      </c>
      <c r="DU52" s="237"/>
      <c r="DV52" s="238">
        <v>51684.86</v>
      </c>
      <c r="DW52" s="238">
        <v>4080.11</v>
      </c>
      <c r="DX52" s="238">
        <v>78779.171891000005</v>
      </c>
      <c r="DY52" s="238">
        <v>12030.06</v>
      </c>
      <c r="DZ52" s="238">
        <v>232277.601486</v>
      </c>
      <c r="EB52" s="239">
        <v>44895</v>
      </c>
      <c r="EC52" s="239">
        <v>44925</v>
      </c>
    </row>
    <row r="53" spans="1:133" x14ac:dyDescent="0.35">
      <c r="A53" s="233">
        <v>44925</v>
      </c>
      <c r="B53" s="234">
        <v>3.0590069999999998</v>
      </c>
      <c r="C53" s="234">
        <v>3.5367760000000001</v>
      </c>
      <c r="D53" s="234">
        <v>3.059005</v>
      </c>
      <c r="E53" s="234">
        <v>3.6840609999999998</v>
      </c>
      <c r="F53" s="234">
        <v>3.2217349999999998</v>
      </c>
      <c r="G53" s="234">
        <v>3.1240709999999998</v>
      </c>
      <c r="H53" s="234">
        <v>3.070284</v>
      </c>
      <c r="I53" s="234">
        <v>3.1357159999999999</v>
      </c>
      <c r="J53" s="234">
        <v>2.7249150000000002</v>
      </c>
      <c r="K53" s="234">
        <v>2.8807140000000002</v>
      </c>
      <c r="L53" s="234">
        <v>5.2996819999999998</v>
      </c>
      <c r="M53" s="234">
        <v>0</v>
      </c>
      <c r="N53" s="234">
        <v>6.1693199999999999</v>
      </c>
      <c r="O53" s="234">
        <v>6.3712739999999997</v>
      </c>
      <c r="P53" s="234">
        <v>5.2996780000000001</v>
      </c>
      <c r="Q53" s="234">
        <v>6.5189219999999999</v>
      </c>
      <c r="R53" s="234">
        <v>5.6552730000000002</v>
      </c>
      <c r="S53" s="234">
        <v>5.5195429999999996</v>
      </c>
      <c r="T53" s="234">
        <v>5.8443940000000003</v>
      </c>
      <c r="U53" s="234">
        <v>5.9204840000000001</v>
      </c>
      <c r="V53" s="234">
        <v>6.0688829999999996</v>
      </c>
      <c r="W53" s="234">
        <v>0.68468200000000001</v>
      </c>
      <c r="X53" s="234">
        <v>0.85280199999999995</v>
      </c>
      <c r="Y53" s="234">
        <v>0.888517</v>
      </c>
      <c r="Z53" s="234">
        <v>0.68468200000000001</v>
      </c>
      <c r="AA53" s="234">
        <v>0.74921700000000002</v>
      </c>
      <c r="AB53" s="234">
        <v>0.90671800000000002</v>
      </c>
      <c r="AC53" s="234">
        <v>0.74975700000000001</v>
      </c>
      <c r="AD53" s="234">
        <v>0.73080999999999996</v>
      </c>
      <c r="AE53" s="234">
        <v>0.732765</v>
      </c>
      <c r="AF53" s="234">
        <v>0.83321100000000003</v>
      </c>
      <c r="AG53" s="234">
        <v>0.76611700000000005</v>
      </c>
      <c r="AH53" s="234">
        <v>1.0241400000000001</v>
      </c>
      <c r="AI53" s="234">
        <v>1.1224209999999999</v>
      </c>
      <c r="AJ53" s="234">
        <v>1.0238879999999999</v>
      </c>
      <c r="AK53" s="234">
        <v>1.1856230000000001</v>
      </c>
      <c r="AL53" s="234">
        <v>1.06951</v>
      </c>
      <c r="AM53" s="234">
        <v>1.0239370000000001</v>
      </c>
      <c r="AN53" s="234">
        <v>1.038046</v>
      </c>
      <c r="AO53" s="234">
        <v>1.038065</v>
      </c>
      <c r="AP53" s="234">
        <v>1.4065939999999999</v>
      </c>
      <c r="AQ53" s="234">
        <v>1.412128</v>
      </c>
      <c r="AR53" s="234">
        <v>1.3100689999999999</v>
      </c>
      <c r="AS53" s="234">
        <v>1.406587</v>
      </c>
      <c r="AT53" s="234">
        <v>1.4583330000000001</v>
      </c>
      <c r="AU53" s="234">
        <v>1.3571679999999999</v>
      </c>
      <c r="AV53" s="234">
        <v>1.463571</v>
      </c>
      <c r="AW53" s="234">
        <v>1.397783</v>
      </c>
      <c r="AX53" s="234">
        <v>1.342544</v>
      </c>
      <c r="AY53" s="234">
        <v>1.490151</v>
      </c>
      <c r="AZ53" s="234">
        <v>1.3620399999999999</v>
      </c>
      <c r="BA53" s="234">
        <v>1.3950910000000001</v>
      </c>
      <c r="BB53" s="235"/>
      <c r="BC53" s="234">
        <v>1.250478</v>
      </c>
      <c r="BD53" s="234">
        <v>1.306762</v>
      </c>
      <c r="BE53" s="234">
        <v>1.325402</v>
      </c>
      <c r="BF53" s="234">
        <v>1.250615</v>
      </c>
      <c r="BG53" s="234">
        <v>1.2727059999999999</v>
      </c>
      <c r="BH53" s="234">
        <v>1.2945230000000001</v>
      </c>
      <c r="BI53" s="234">
        <v>1.385283</v>
      </c>
      <c r="BJ53" s="234">
        <v>1.2833680000000001</v>
      </c>
      <c r="BK53" s="234">
        <v>1.2775399999999999</v>
      </c>
      <c r="BL53" s="234">
        <v>1.2965770000000001</v>
      </c>
      <c r="BM53" s="234">
        <v>1.3159730000000001</v>
      </c>
      <c r="BN53" s="234">
        <v>1.3062549999999999</v>
      </c>
      <c r="BO53" s="234">
        <v>3.3212809999999999</v>
      </c>
      <c r="BP53" s="234">
        <v>3.630436</v>
      </c>
      <c r="BQ53" s="234">
        <v>3.676758</v>
      </c>
      <c r="BR53" s="234">
        <v>3.3205580000000001</v>
      </c>
      <c r="BS53" s="234">
        <v>3.3658809999999999</v>
      </c>
      <c r="BT53" s="234">
        <v>3.4097620000000002</v>
      </c>
      <c r="BU53" s="234">
        <v>3.6062979999999998</v>
      </c>
      <c r="BV53" s="234">
        <v>3.3884430000000001</v>
      </c>
      <c r="BW53" s="234">
        <v>3.3867180000000001</v>
      </c>
      <c r="BX53" s="234">
        <v>3.4244439999999998</v>
      </c>
      <c r="BY53" s="234">
        <v>3.4631799999999999</v>
      </c>
      <c r="BZ53" s="234">
        <v>3.4439989999999998</v>
      </c>
      <c r="CA53" s="234">
        <v>0.35381800000000002</v>
      </c>
      <c r="CB53" s="234">
        <v>0.35513</v>
      </c>
      <c r="CC53" s="234">
        <v>0.35168300000000002</v>
      </c>
      <c r="CD53" s="234">
        <v>0.387235</v>
      </c>
      <c r="CE53" s="234">
        <v>0.37964399999999998</v>
      </c>
      <c r="CF53" s="234">
        <v>0.35282400000000003</v>
      </c>
      <c r="CG53" s="234">
        <v>0.35390300000000002</v>
      </c>
      <c r="CH53" s="234">
        <v>0.35278300000000001</v>
      </c>
      <c r="CI53" s="234">
        <v>1.2860020000000001</v>
      </c>
      <c r="CJ53" s="234">
        <v>1.3293839999999999</v>
      </c>
      <c r="CK53" s="234">
        <v>1.349072</v>
      </c>
      <c r="CL53" s="234">
        <v>1.286124</v>
      </c>
      <c r="CM53" s="234">
        <v>1.3087340000000001</v>
      </c>
      <c r="CN53" s="234">
        <v>1.3317319999999999</v>
      </c>
      <c r="CO53" s="234">
        <v>1.4060520000000001</v>
      </c>
      <c r="CP53" s="234">
        <v>1.320058</v>
      </c>
      <c r="CQ53" s="234">
        <v>1.314794</v>
      </c>
      <c r="CR53" s="234">
        <v>1.333669</v>
      </c>
      <c r="CS53" s="234">
        <v>1.3533710000000001</v>
      </c>
      <c r="CT53" s="234">
        <v>1.3433440000000001</v>
      </c>
      <c r="CU53" s="234">
        <v>2.5929129999999998</v>
      </c>
      <c r="CV53" s="234">
        <v>2.5962190000000001</v>
      </c>
      <c r="CW53" s="234">
        <v>2.9617900000000001</v>
      </c>
      <c r="CX53" s="234">
        <v>2.579904</v>
      </c>
      <c r="CY53" s="234">
        <v>2.7606310000000001</v>
      </c>
      <c r="CZ53" s="234">
        <v>2.820757</v>
      </c>
      <c r="DA53" s="234">
        <v>3.0145330000000001</v>
      </c>
      <c r="DB53" s="234">
        <v>2.5734970000000001</v>
      </c>
      <c r="DC53" s="234">
        <v>0.71108000000000005</v>
      </c>
      <c r="DD53" s="234">
        <v>0.71110700000000004</v>
      </c>
      <c r="DE53" s="234">
        <v>0.71071099999999998</v>
      </c>
      <c r="DF53" s="234">
        <v>0.724495</v>
      </c>
      <c r="DG53" s="234">
        <v>0.72250199999999998</v>
      </c>
      <c r="DH53" s="234">
        <v>0.71074599999999999</v>
      </c>
      <c r="DI53" s="234">
        <v>0.71108700000000002</v>
      </c>
      <c r="DJ53" s="234">
        <v>0.71075200000000005</v>
      </c>
      <c r="DK53" s="236"/>
      <c r="DL53" s="234">
        <v>19.508900000000001</v>
      </c>
      <c r="DM53" s="234">
        <v>116.94837044437659</v>
      </c>
      <c r="DN53" s="234">
        <v>158.759348945753</v>
      </c>
      <c r="DO53" s="234">
        <v>172.27558428149803</v>
      </c>
      <c r="DP53" s="234">
        <v>7.6449449999999999</v>
      </c>
      <c r="DQ53" s="234">
        <v>181.15708853043546</v>
      </c>
      <c r="DR53" s="234">
        <v>196.56616032365648</v>
      </c>
      <c r="DS53" s="234">
        <v>6.3136360651932177</v>
      </c>
      <c r="DT53" s="234">
        <v>7.1909129578046702</v>
      </c>
      <c r="DU53" s="237"/>
      <c r="DV53" s="238">
        <v>48463.86</v>
      </c>
      <c r="DW53" s="238">
        <v>3839.5</v>
      </c>
      <c r="DX53" s="238">
        <v>74904.421549999999</v>
      </c>
      <c r="DY53" s="238">
        <v>10939.76</v>
      </c>
      <c r="DZ53" s="238">
        <v>213422.68386400002</v>
      </c>
      <c r="EB53" s="239">
        <v>44925</v>
      </c>
      <c r="EC53" s="239">
        <v>44957</v>
      </c>
    </row>
    <row r="54" spans="1:133" x14ac:dyDescent="0.35">
      <c r="A54" s="233">
        <v>44957</v>
      </c>
      <c r="B54" s="234">
        <v>3.0907339999999999</v>
      </c>
      <c r="C54" s="234">
        <v>3.573928</v>
      </c>
      <c r="D54" s="234">
        <v>3.0907330000000002</v>
      </c>
      <c r="E54" s="234">
        <v>3.727023</v>
      </c>
      <c r="F54" s="234">
        <v>3.2582770000000001</v>
      </c>
      <c r="G54" s="234">
        <v>3.156771</v>
      </c>
      <c r="H54" s="234">
        <v>3.1021299999999998</v>
      </c>
      <c r="I54" s="234">
        <v>3.1685509999999999</v>
      </c>
      <c r="J54" s="234">
        <v>2.7461030000000002</v>
      </c>
      <c r="K54" s="234">
        <v>2.903521</v>
      </c>
      <c r="L54" s="234">
        <v>5.3383320000000003</v>
      </c>
      <c r="M54" s="234">
        <v>0</v>
      </c>
      <c r="N54" s="234">
        <v>6.2151579999999997</v>
      </c>
      <c r="O54" s="234">
        <v>6.426266</v>
      </c>
      <c r="P54" s="234">
        <v>5.3383279999999997</v>
      </c>
      <c r="Q54" s="234">
        <v>6.5764459999999998</v>
      </c>
      <c r="R54" s="234">
        <v>5.7033589999999998</v>
      </c>
      <c r="S54" s="234">
        <v>5.5605529999999996</v>
      </c>
      <c r="T54" s="234">
        <v>5.8913029999999997</v>
      </c>
      <c r="U54" s="234">
        <v>5.9708600000000001</v>
      </c>
      <c r="V54" s="234">
        <v>6.1183249999999996</v>
      </c>
      <c r="W54" s="234">
        <v>0.68941399999999997</v>
      </c>
      <c r="X54" s="234">
        <v>0.85941199999999995</v>
      </c>
      <c r="Y54" s="234">
        <v>0.895617</v>
      </c>
      <c r="Z54" s="234">
        <v>0.68941399999999997</v>
      </c>
      <c r="AA54" s="234">
        <v>0.75476200000000004</v>
      </c>
      <c r="AB54" s="234">
        <v>0.91479200000000005</v>
      </c>
      <c r="AC54" s="234">
        <v>0.75620799999999999</v>
      </c>
      <c r="AD54" s="234">
        <v>0.73643999999999998</v>
      </c>
      <c r="AE54" s="234">
        <v>0.73801099999999997</v>
      </c>
      <c r="AF54" s="234">
        <v>0.83978699999999995</v>
      </c>
      <c r="AG54" s="234">
        <v>0.77192799999999995</v>
      </c>
      <c r="AH54" s="234">
        <v>0.99131400000000003</v>
      </c>
      <c r="AI54" s="234">
        <v>1.08646</v>
      </c>
      <c r="AJ54" s="234">
        <v>0.99107100000000004</v>
      </c>
      <c r="AK54" s="234">
        <v>1.14879</v>
      </c>
      <c r="AL54" s="234">
        <v>1.03607</v>
      </c>
      <c r="AM54" s="234">
        <v>0.99111800000000005</v>
      </c>
      <c r="AN54" s="234">
        <v>1.004775</v>
      </c>
      <c r="AO54" s="234">
        <v>1.0047919999999999</v>
      </c>
      <c r="AP54" s="234">
        <v>1.41767</v>
      </c>
      <c r="AQ54" s="234">
        <v>1.4237379999999999</v>
      </c>
      <c r="AR54" s="234">
        <v>1.3197460000000001</v>
      </c>
      <c r="AS54" s="234">
        <v>1.417664</v>
      </c>
      <c r="AT54" s="234">
        <v>1.470173</v>
      </c>
      <c r="AU54" s="234">
        <v>1.3675250000000001</v>
      </c>
      <c r="AV54" s="234">
        <v>1.476591</v>
      </c>
      <c r="AW54" s="234">
        <v>1.409797</v>
      </c>
      <c r="AX54" s="234">
        <v>1.352554</v>
      </c>
      <c r="AY54" s="234">
        <v>1.502343</v>
      </c>
      <c r="AZ54" s="234">
        <v>1.373089</v>
      </c>
      <c r="BA54" s="234">
        <v>1.4065019999999999</v>
      </c>
      <c r="BB54" s="235"/>
      <c r="BC54" s="234">
        <v>1.2661070000000001</v>
      </c>
      <c r="BD54" s="234">
        <v>1.323526</v>
      </c>
      <c r="BE54" s="234">
        <v>1.3427249999999999</v>
      </c>
      <c r="BF54" s="234">
        <v>1.266246</v>
      </c>
      <c r="BG54" s="234">
        <v>1.288934</v>
      </c>
      <c r="BH54" s="234">
        <v>1.3113429999999999</v>
      </c>
      <c r="BI54" s="234">
        <v>1.405057</v>
      </c>
      <c r="BJ54" s="234">
        <v>1.299882</v>
      </c>
      <c r="BK54" s="234">
        <v>1.2939799999999999</v>
      </c>
      <c r="BL54" s="234">
        <v>1.313534</v>
      </c>
      <c r="BM54" s="234">
        <v>1.3334680000000001</v>
      </c>
      <c r="BN54" s="234">
        <v>1.3234790000000001</v>
      </c>
      <c r="BO54" s="234">
        <v>3.3586260000000001</v>
      </c>
      <c r="BP54" s="234">
        <v>3.6722980000000001</v>
      </c>
      <c r="BQ54" s="234">
        <v>3.720043</v>
      </c>
      <c r="BR54" s="234">
        <v>3.3578950000000001</v>
      </c>
      <c r="BS54" s="234">
        <v>3.4045730000000001</v>
      </c>
      <c r="BT54" s="234">
        <v>3.4497819999999999</v>
      </c>
      <c r="BU54" s="234">
        <v>3.6525650000000001</v>
      </c>
      <c r="BV54" s="234">
        <v>3.4278200000000001</v>
      </c>
      <c r="BW54" s="234">
        <v>3.4260739999999998</v>
      </c>
      <c r="BX54" s="234">
        <v>3.4649359999999998</v>
      </c>
      <c r="BY54" s="234">
        <v>3.5048650000000001</v>
      </c>
      <c r="BZ54" s="234">
        <v>3.4851040000000002</v>
      </c>
      <c r="CA54" s="234">
        <v>0.36207099999999998</v>
      </c>
      <c r="CB54" s="234">
        <v>0.36341600000000002</v>
      </c>
      <c r="CC54" s="234">
        <v>0.35988599999999998</v>
      </c>
      <c r="CD54" s="234">
        <v>0.39693200000000001</v>
      </c>
      <c r="CE54" s="234">
        <v>0.389073</v>
      </c>
      <c r="CF54" s="234">
        <v>0.36105599999999999</v>
      </c>
      <c r="CG54" s="234">
        <v>0.36215799999999998</v>
      </c>
      <c r="CH54" s="234">
        <v>0.361014</v>
      </c>
      <c r="CI54" s="234">
        <v>1.307714</v>
      </c>
      <c r="CJ54" s="234">
        <v>1.3522289999999999</v>
      </c>
      <c r="CK54" s="234">
        <v>1.372593</v>
      </c>
      <c r="CL54" s="234">
        <v>1.3078380000000001</v>
      </c>
      <c r="CM54" s="234">
        <v>1.331161</v>
      </c>
      <c r="CN54" s="234">
        <v>1.3548899999999999</v>
      </c>
      <c r="CO54" s="234">
        <v>1.4319930000000001</v>
      </c>
      <c r="CP54" s="234">
        <v>1.342846</v>
      </c>
      <c r="CQ54" s="234">
        <v>1.3374900000000001</v>
      </c>
      <c r="CR54" s="234">
        <v>1.3569770000000001</v>
      </c>
      <c r="CS54" s="234">
        <v>1.37731</v>
      </c>
      <c r="CT54" s="234">
        <v>1.36696</v>
      </c>
      <c r="CU54" s="234">
        <v>2.8911280000000001</v>
      </c>
      <c r="CV54" s="234">
        <v>2.8948360000000002</v>
      </c>
      <c r="CW54" s="234">
        <v>3.310873</v>
      </c>
      <c r="CX54" s="234">
        <v>2.876449</v>
      </c>
      <c r="CY54" s="234">
        <v>3.0818140000000001</v>
      </c>
      <c r="CZ54" s="234">
        <v>3.1502439999999998</v>
      </c>
      <c r="DA54" s="234">
        <v>3.3707240000000001</v>
      </c>
      <c r="DB54" s="234">
        <v>2.869278</v>
      </c>
      <c r="DC54" s="234">
        <v>0.76967099999999999</v>
      </c>
      <c r="DD54" s="234">
        <v>0.769702</v>
      </c>
      <c r="DE54" s="234">
        <v>0.76927199999999996</v>
      </c>
      <c r="DF54" s="234">
        <v>0.78550699999999996</v>
      </c>
      <c r="DG54" s="234">
        <v>0.783192</v>
      </c>
      <c r="DH54" s="234">
        <v>0.76931300000000002</v>
      </c>
      <c r="DI54" s="234">
        <v>0.769679</v>
      </c>
      <c r="DJ54" s="234">
        <v>0.76931799999999995</v>
      </c>
      <c r="DK54" s="236"/>
      <c r="DL54" s="234">
        <v>18.838999999999999</v>
      </c>
      <c r="DM54" s="234">
        <v>117.20721617096015</v>
      </c>
      <c r="DN54" s="234">
        <v>159.92217297714234</v>
      </c>
      <c r="DO54" s="234">
        <v>173.56037730560627</v>
      </c>
      <c r="DP54" s="234">
        <v>7.685924</v>
      </c>
      <c r="DQ54" s="234">
        <v>182.86882173139415</v>
      </c>
      <c r="DR54" s="234">
        <v>198.44970095324669</v>
      </c>
      <c r="DS54" s="234">
        <v>6.3725408866512341</v>
      </c>
      <c r="DT54" s="234">
        <v>7.258961366114705</v>
      </c>
      <c r="DU54" s="237"/>
      <c r="DV54" s="238">
        <v>54564.27</v>
      </c>
      <c r="DW54" s="238">
        <v>4076.6</v>
      </c>
      <c r="DX54" s="238">
        <v>76799.0674</v>
      </c>
      <c r="DY54" s="238">
        <v>12101.93</v>
      </c>
      <c r="DZ54" s="238">
        <v>227988.25926999998</v>
      </c>
      <c r="EB54" s="239">
        <v>44957</v>
      </c>
      <c r="EC54" s="239">
        <v>44985</v>
      </c>
    </row>
    <row r="55" spans="1:133" x14ac:dyDescent="0.35">
      <c r="A55" s="233">
        <v>44985</v>
      </c>
      <c r="B55" s="234">
        <v>3.0661019999999999</v>
      </c>
      <c r="C55" s="234">
        <v>3.5458829999999999</v>
      </c>
      <c r="D55" s="234">
        <v>3.0661</v>
      </c>
      <c r="E55" s="234">
        <v>3.701727</v>
      </c>
      <c r="F55" s="234">
        <v>3.2352080000000001</v>
      </c>
      <c r="G55" s="234">
        <v>3.131885</v>
      </c>
      <c r="H55" s="234">
        <v>3.0774080000000001</v>
      </c>
      <c r="I55" s="234">
        <v>3.1435680000000001</v>
      </c>
      <c r="J55" s="234">
        <v>2.763217</v>
      </c>
      <c r="K55" s="234">
        <v>2.9219979999999999</v>
      </c>
      <c r="L55" s="234">
        <v>5.3759379999999997</v>
      </c>
      <c r="M55" s="234">
        <v>0</v>
      </c>
      <c r="N55" s="234">
        <v>6.259735</v>
      </c>
      <c r="O55" s="234">
        <v>6.4795610000000003</v>
      </c>
      <c r="P55" s="234">
        <v>5.375934</v>
      </c>
      <c r="Q55" s="234">
        <v>6.6321669999999999</v>
      </c>
      <c r="R55" s="234">
        <v>5.7499760000000002</v>
      </c>
      <c r="S55" s="234">
        <v>5.6004350000000001</v>
      </c>
      <c r="T55" s="234">
        <v>5.9368369999999997</v>
      </c>
      <c r="U55" s="234">
        <v>6.0196949999999996</v>
      </c>
      <c r="V55" s="234">
        <v>6.166334</v>
      </c>
      <c r="W55" s="234">
        <v>0.69394</v>
      </c>
      <c r="X55" s="234">
        <v>0.865726</v>
      </c>
      <c r="Y55" s="234">
        <v>0.90239800000000003</v>
      </c>
      <c r="Z55" s="234">
        <v>0.69394</v>
      </c>
      <c r="AA55" s="234">
        <v>0.76006300000000004</v>
      </c>
      <c r="AB55" s="234">
        <v>0.92249700000000001</v>
      </c>
      <c r="AC55" s="234">
        <v>0.76236599999999999</v>
      </c>
      <c r="AD55" s="234">
        <v>0.74182199999999998</v>
      </c>
      <c r="AE55" s="234">
        <v>0.74302699999999999</v>
      </c>
      <c r="AF55" s="234">
        <v>0.84606999999999999</v>
      </c>
      <c r="AG55" s="234">
        <v>0.77748200000000001</v>
      </c>
      <c r="AH55" s="234">
        <v>0.96728800000000004</v>
      </c>
      <c r="AI55" s="234">
        <v>1.0601370000000001</v>
      </c>
      <c r="AJ55" s="234">
        <v>0.96705099999999999</v>
      </c>
      <c r="AK55" s="234">
        <v>1.122012</v>
      </c>
      <c r="AL55" s="234">
        <v>1.011725</v>
      </c>
      <c r="AM55" s="234">
        <v>0.96709699999999998</v>
      </c>
      <c r="AN55" s="234">
        <v>0.98042300000000004</v>
      </c>
      <c r="AO55" s="234">
        <v>0.98043199999999997</v>
      </c>
      <c r="AP55" s="234">
        <v>1.428131</v>
      </c>
      <c r="AQ55" s="234">
        <v>1.4347049999999999</v>
      </c>
      <c r="AR55" s="234">
        <v>1.328883</v>
      </c>
      <c r="AS55" s="234">
        <v>1.4281239999999999</v>
      </c>
      <c r="AT55" s="234">
        <v>1.481355</v>
      </c>
      <c r="AU55" s="234">
        <v>1.3773040000000001</v>
      </c>
      <c r="AV55" s="234">
        <v>1.488896</v>
      </c>
      <c r="AW55" s="234">
        <v>1.4211469999999999</v>
      </c>
      <c r="AX55" s="234">
        <v>1.3620129999999999</v>
      </c>
      <c r="AY55" s="234">
        <v>1.513865</v>
      </c>
      <c r="AZ55" s="234">
        <v>1.383524</v>
      </c>
      <c r="BA55" s="234">
        <v>1.4172849999999999</v>
      </c>
      <c r="BB55" s="235"/>
      <c r="BC55" s="234">
        <v>1.238362</v>
      </c>
      <c r="BD55" s="234">
        <v>1.294907</v>
      </c>
      <c r="BE55" s="234">
        <v>1.3139860000000001</v>
      </c>
      <c r="BF55" s="234">
        <v>1.2384980000000001</v>
      </c>
      <c r="BG55" s="234">
        <v>1.260983</v>
      </c>
      <c r="BH55" s="234">
        <v>1.283193</v>
      </c>
      <c r="BI55" s="234">
        <v>1.376517</v>
      </c>
      <c r="BJ55" s="234">
        <v>1.2718290000000001</v>
      </c>
      <c r="BK55" s="234">
        <v>1.2660579999999999</v>
      </c>
      <c r="BL55" s="234">
        <v>1.285433</v>
      </c>
      <c r="BM55" s="234">
        <v>1.305204</v>
      </c>
      <c r="BN55" s="234">
        <v>1.295296</v>
      </c>
      <c r="BO55" s="234">
        <v>3.2234280000000002</v>
      </c>
      <c r="BP55" s="234">
        <v>3.5254050000000001</v>
      </c>
      <c r="BQ55" s="234">
        <v>3.5720299999999998</v>
      </c>
      <c r="BR55" s="234">
        <v>3.2227269999999999</v>
      </c>
      <c r="BS55" s="234">
        <v>3.268284</v>
      </c>
      <c r="BT55" s="234">
        <v>3.3124220000000002</v>
      </c>
      <c r="BU55" s="234">
        <v>3.5106649999999999</v>
      </c>
      <c r="BV55" s="234">
        <v>3.2909809999999999</v>
      </c>
      <c r="BW55" s="234">
        <v>3.2893050000000001</v>
      </c>
      <c r="BX55" s="234">
        <v>3.327229</v>
      </c>
      <c r="BY55" s="234">
        <v>3.366241</v>
      </c>
      <c r="BZ55" s="234">
        <v>3.3469449999999998</v>
      </c>
      <c r="CA55" s="234">
        <v>0.34416600000000003</v>
      </c>
      <c r="CB55" s="234">
        <v>0.34544599999999998</v>
      </c>
      <c r="CC55" s="234">
        <v>0.34208899999999998</v>
      </c>
      <c r="CD55" s="234">
        <v>0.37789299999999998</v>
      </c>
      <c r="CE55" s="234">
        <v>0.37034299999999998</v>
      </c>
      <c r="CF55" s="234">
        <v>0.34320299999999998</v>
      </c>
      <c r="CG55" s="234">
        <v>0.344248</v>
      </c>
      <c r="CH55" s="234">
        <v>0.34316099999999999</v>
      </c>
      <c r="CI55" s="234">
        <v>1.2618830000000001</v>
      </c>
      <c r="CJ55" s="234">
        <v>1.3051820000000001</v>
      </c>
      <c r="CK55" s="234">
        <v>1.3251390000000001</v>
      </c>
      <c r="CL55" s="234">
        <v>1.262003</v>
      </c>
      <c r="CM55" s="234">
        <v>1.284807</v>
      </c>
      <c r="CN55" s="234">
        <v>1.308012</v>
      </c>
      <c r="CO55" s="234">
        <v>1.3837919999999999</v>
      </c>
      <c r="CP55" s="234">
        <v>1.296235</v>
      </c>
      <c r="CQ55" s="234">
        <v>1.2910649999999999</v>
      </c>
      <c r="CR55" s="234">
        <v>1.3101320000000001</v>
      </c>
      <c r="CS55" s="234">
        <v>1.330022</v>
      </c>
      <c r="CT55" s="234">
        <v>1.3198970000000001</v>
      </c>
      <c r="CU55" s="234">
        <v>2.8032499999999998</v>
      </c>
      <c r="CV55" s="234">
        <v>2.806867</v>
      </c>
      <c r="CW55" s="234">
        <v>3.2177609999999999</v>
      </c>
      <c r="CX55" s="234">
        <v>2.7887330000000001</v>
      </c>
      <c r="CY55" s="234">
        <v>2.991476</v>
      </c>
      <c r="CZ55" s="234">
        <v>3.0589400000000002</v>
      </c>
      <c r="DA55" s="234">
        <v>3.2768790000000001</v>
      </c>
      <c r="DB55" s="234">
        <v>2.781765</v>
      </c>
      <c r="DC55" s="234">
        <v>0.75115600000000005</v>
      </c>
      <c r="DD55" s="234">
        <v>0.751193</v>
      </c>
      <c r="DE55" s="234">
        <v>0.75076600000000004</v>
      </c>
      <c r="DF55" s="234">
        <v>0.76780999999999999</v>
      </c>
      <c r="DG55" s="234">
        <v>0.765405</v>
      </c>
      <c r="DH55" s="234">
        <v>0.75080899999999995</v>
      </c>
      <c r="DI55" s="234">
        <v>0.75116400000000005</v>
      </c>
      <c r="DJ55" s="234">
        <v>0.75081399999999998</v>
      </c>
      <c r="DK55" s="236"/>
      <c r="DL55" s="234">
        <v>18.325299999999999</v>
      </c>
      <c r="DM55" s="234">
        <v>117.44241198474322</v>
      </c>
      <c r="DN55" s="234">
        <v>160.98565542744035</v>
      </c>
      <c r="DO55" s="234">
        <v>174.73480252537419</v>
      </c>
      <c r="DP55" s="234">
        <v>7.7398850000000001</v>
      </c>
      <c r="DQ55" s="234">
        <v>184.42625452980653</v>
      </c>
      <c r="DR55" s="234">
        <v>200.16298337147637</v>
      </c>
      <c r="DS55" s="234">
        <v>6.4262684869266886</v>
      </c>
      <c r="DT55" s="234">
        <v>7.3210093547697284</v>
      </c>
      <c r="DU55" s="237"/>
      <c r="DV55" s="238">
        <v>52758.06</v>
      </c>
      <c r="DW55" s="238">
        <v>3970.15</v>
      </c>
      <c r="DX55" s="238">
        <v>72754.189794999998</v>
      </c>
      <c r="DY55" s="238">
        <v>12042.12</v>
      </c>
      <c r="DZ55" s="238">
        <v>220675.46163599999</v>
      </c>
      <c r="EB55" s="239">
        <v>44985</v>
      </c>
      <c r="EC55" s="239">
        <v>45016</v>
      </c>
    </row>
    <row r="56" spans="1:133" x14ac:dyDescent="0.35">
      <c r="A56" s="233">
        <v>45016</v>
      </c>
      <c r="B56" s="234">
        <v>3.1249889999999998</v>
      </c>
      <c r="C56" s="234">
        <v>3.6145100000000001</v>
      </c>
      <c r="D56" s="234">
        <v>3.1249880000000001</v>
      </c>
      <c r="E56" s="234">
        <v>3.7781229999999999</v>
      </c>
      <c r="F56" s="234">
        <v>3.3008289999999998</v>
      </c>
      <c r="G56" s="234">
        <v>3.1923490000000001</v>
      </c>
      <c r="H56" s="234">
        <v>3.136514</v>
      </c>
      <c r="I56" s="234">
        <v>3.2042449999999998</v>
      </c>
      <c r="J56" s="234">
        <v>2.7881580000000001</v>
      </c>
      <c r="K56" s="234">
        <v>2.9488279999999998</v>
      </c>
      <c r="L56" s="234">
        <v>5.4225539999999999</v>
      </c>
      <c r="M56" s="234">
        <v>0</v>
      </c>
      <c r="N56" s="234">
        <v>6.3149629999999997</v>
      </c>
      <c r="O56" s="234">
        <v>6.5453039999999998</v>
      </c>
      <c r="P56" s="234">
        <v>5.4225500000000002</v>
      </c>
      <c r="Q56" s="234">
        <v>6.7008640000000002</v>
      </c>
      <c r="R56" s="234">
        <v>5.8075010000000002</v>
      </c>
      <c r="S56" s="234">
        <v>5.6498460000000001</v>
      </c>
      <c r="T56" s="234">
        <v>5.9931140000000003</v>
      </c>
      <c r="U56" s="234">
        <v>6.0799570000000003</v>
      </c>
      <c r="V56" s="234">
        <v>6.2256590000000003</v>
      </c>
      <c r="W56" s="234">
        <v>0.69954700000000003</v>
      </c>
      <c r="X56" s="234">
        <v>0.87351999999999996</v>
      </c>
      <c r="Y56" s="234">
        <v>0.91076000000000001</v>
      </c>
      <c r="Z56" s="234">
        <v>0.69954700000000003</v>
      </c>
      <c r="AA56" s="234">
        <v>0.76661400000000002</v>
      </c>
      <c r="AB56" s="234">
        <v>0.93197399999999997</v>
      </c>
      <c r="AC56" s="234">
        <v>0.76994700000000005</v>
      </c>
      <c r="AD56" s="234">
        <v>0.74846599999999996</v>
      </c>
      <c r="AE56" s="234">
        <v>0.74923300000000004</v>
      </c>
      <c r="AF56" s="234">
        <v>0.85382100000000005</v>
      </c>
      <c r="AG56" s="234">
        <v>0.78433600000000003</v>
      </c>
      <c r="AH56" s="234">
        <v>0.95367100000000005</v>
      </c>
      <c r="AI56" s="234">
        <v>1.045228</v>
      </c>
      <c r="AJ56" s="234">
        <v>0.95343699999999998</v>
      </c>
      <c r="AK56" s="234">
        <v>1.1074550000000001</v>
      </c>
      <c r="AL56" s="234">
        <v>0.99837200000000004</v>
      </c>
      <c r="AM56" s="234">
        <v>0.953484</v>
      </c>
      <c r="AN56" s="234">
        <v>0.96662099999999995</v>
      </c>
      <c r="AO56" s="234">
        <v>0.96662400000000004</v>
      </c>
      <c r="AP56" s="234">
        <v>1.441443</v>
      </c>
      <c r="AQ56" s="234">
        <v>1.4486270000000001</v>
      </c>
      <c r="AR56" s="234">
        <v>1.3405549999999999</v>
      </c>
      <c r="AS56" s="234">
        <v>1.4414359999999999</v>
      </c>
      <c r="AT56" s="234">
        <v>1.4955620000000001</v>
      </c>
      <c r="AU56" s="234">
        <v>1.3897710000000001</v>
      </c>
      <c r="AV56" s="234">
        <v>1.504451</v>
      </c>
      <c r="AW56" s="234">
        <v>1.435522</v>
      </c>
      <c r="AX56" s="234">
        <v>1.374082</v>
      </c>
      <c r="AY56" s="234">
        <v>1.528489</v>
      </c>
      <c r="AZ56" s="234">
        <v>1.3967810000000001</v>
      </c>
      <c r="BA56" s="234">
        <v>1.4309719999999999</v>
      </c>
      <c r="BB56" s="235"/>
      <c r="BC56" s="234">
        <v>1.2602930000000001</v>
      </c>
      <c r="BD56" s="234">
        <v>1.3182990000000001</v>
      </c>
      <c r="BE56" s="234">
        <v>1.3380719999999999</v>
      </c>
      <c r="BF56" s="234">
        <v>1.260432</v>
      </c>
      <c r="BG56" s="234">
        <v>1.283666</v>
      </c>
      <c r="BH56" s="234">
        <v>1.3066199999999999</v>
      </c>
      <c r="BI56" s="234">
        <v>1.4035960000000001</v>
      </c>
      <c r="BJ56" s="234">
        <v>1.294872</v>
      </c>
      <c r="BK56" s="234">
        <v>1.288994</v>
      </c>
      <c r="BL56" s="234">
        <v>1.3090250000000001</v>
      </c>
      <c r="BM56" s="234">
        <v>1.329467</v>
      </c>
      <c r="BN56" s="234">
        <v>1.3192189999999999</v>
      </c>
      <c r="BO56" s="234">
        <v>3.2680549999999999</v>
      </c>
      <c r="BP56" s="234">
        <v>3.5753149999999998</v>
      </c>
      <c r="BQ56" s="234">
        <v>3.6235620000000002</v>
      </c>
      <c r="BR56" s="234">
        <v>3.267344</v>
      </c>
      <c r="BS56" s="234">
        <v>3.3144369999999999</v>
      </c>
      <c r="BT56" s="234">
        <v>3.3600810000000001</v>
      </c>
      <c r="BU56" s="234">
        <v>3.565407</v>
      </c>
      <c r="BV56" s="234">
        <v>3.3379110000000001</v>
      </c>
      <c r="BW56" s="234">
        <v>3.336211</v>
      </c>
      <c r="BX56" s="234">
        <v>3.3754</v>
      </c>
      <c r="BY56" s="234">
        <v>3.4157869999999999</v>
      </c>
      <c r="BZ56" s="234">
        <v>3.3958219999999999</v>
      </c>
      <c r="CA56" s="234">
        <v>0.34972799999999998</v>
      </c>
      <c r="CB56" s="234">
        <v>0.35103200000000001</v>
      </c>
      <c r="CC56" s="234">
        <v>0.347499</v>
      </c>
      <c r="CD56" s="234">
        <v>0.38470799999999999</v>
      </c>
      <c r="CE56" s="234">
        <v>0.37681300000000001</v>
      </c>
      <c r="CF56" s="234">
        <v>0.348634</v>
      </c>
      <c r="CG56" s="234">
        <v>0.34981200000000001</v>
      </c>
      <c r="CH56" s="234">
        <v>0.34858499999999998</v>
      </c>
      <c r="CI56" s="234">
        <v>1.286246</v>
      </c>
      <c r="CJ56" s="234">
        <v>1.330789</v>
      </c>
      <c r="CK56" s="234">
        <v>1.3515029999999999</v>
      </c>
      <c r="CL56" s="234">
        <v>1.286368</v>
      </c>
      <c r="CM56" s="234">
        <v>1.3099700000000001</v>
      </c>
      <c r="CN56" s="234">
        <v>1.3339939999999999</v>
      </c>
      <c r="CO56" s="234">
        <v>1.4128970000000001</v>
      </c>
      <c r="CP56" s="234">
        <v>1.3218030000000001</v>
      </c>
      <c r="CQ56" s="234">
        <v>1.31653</v>
      </c>
      <c r="CR56" s="234">
        <v>1.3362830000000001</v>
      </c>
      <c r="CS56" s="234">
        <v>1.356876</v>
      </c>
      <c r="CT56" s="234">
        <v>1.346392</v>
      </c>
      <c r="CU56" s="234">
        <v>2.8512089999999999</v>
      </c>
      <c r="CV56" s="234">
        <v>2.854911</v>
      </c>
      <c r="CW56" s="234">
        <v>3.282127</v>
      </c>
      <c r="CX56" s="234">
        <v>2.8363360000000002</v>
      </c>
      <c r="CY56" s="234">
        <v>3.046662</v>
      </c>
      <c r="CZ56" s="234">
        <v>3.1168740000000001</v>
      </c>
      <c r="DA56" s="234">
        <v>3.3432879999999998</v>
      </c>
      <c r="DB56" s="234">
        <v>2.829234</v>
      </c>
      <c r="DC56" s="234">
        <v>0.81039300000000003</v>
      </c>
      <c r="DD56" s="234">
        <v>0.81043600000000005</v>
      </c>
      <c r="DE56" s="234">
        <v>0.80986899999999995</v>
      </c>
      <c r="DF56" s="234">
        <v>0.82988399999999996</v>
      </c>
      <c r="DG56" s="234">
        <v>0.82700399999999996</v>
      </c>
      <c r="DH56" s="234">
        <v>0.80991800000000003</v>
      </c>
      <c r="DI56" s="234">
        <v>0.81040100000000004</v>
      </c>
      <c r="DJ56" s="234">
        <v>0.80992500000000001</v>
      </c>
      <c r="DK56" s="236"/>
      <c r="DL56" s="234">
        <v>18.020099999999999</v>
      </c>
      <c r="DM56" s="234">
        <v>117.71040904431395</v>
      </c>
      <c r="DN56" s="234">
        <v>162.18893376528521</v>
      </c>
      <c r="DO56" s="234">
        <v>176.06341801135392</v>
      </c>
      <c r="DP56" s="234">
        <v>7.7748869999999997</v>
      </c>
      <c r="DQ56" s="234">
        <v>186.20335518074666</v>
      </c>
      <c r="DR56" s="234">
        <v>202.11757490409883</v>
      </c>
      <c r="DS56" s="234">
        <v>6.4878450808221491</v>
      </c>
      <c r="DT56" s="234">
        <v>7.3921049984628091</v>
      </c>
      <c r="DU56" s="237"/>
      <c r="DV56" s="238">
        <v>53904</v>
      </c>
      <c r="DW56" s="238">
        <v>4109.3100000000004</v>
      </c>
      <c r="DX56" s="238">
        <v>74050.177131000004</v>
      </c>
      <c r="DY56" s="238">
        <v>13181.35</v>
      </c>
      <c r="DZ56" s="238">
        <v>237529.245135</v>
      </c>
      <c r="EB56" s="239">
        <v>45016</v>
      </c>
      <c r="EC56" s="239">
        <v>45044</v>
      </c>
    </row>
    <row r="57" spans="1:133" x14ac:dyDescent="0.35">
      <c r="A57" s="233">
        <v>45044</v>
      </c>
      <c r="B57" s="234">
        <v>3.1391450000000001</v>
      </c>
      <c r="C57" s="234">
        <v>3.6313460000000002</v>
      </c>
      <c r="D57" s="234">
        <v>3.1391429999999998</v>
      </c>
      <c r="E57" s="234">
        <v>3.7999209999999999</v>
      </c>
      <c r="F57" s="234">
        <v>3.3188610000000001</v>
      </c>
      <c r="G57" s="234">
        <v>3.2070799999999999</v>
      </c>
      <c r="H57" s="234">
        <v>3.1507230000000002</v>
      </c>
      <c r="I57" s="234">
        <v>3.21902</v>
      </c>
      <c r="J57" s="234">
        <v>2.8105150000000001</v>
      </c>
      <c r="K57" s="234">
        <v>2.9728750000000002</v>
      </c>
      <c r="L57" s="234">
        <v>5.4640069999999996</v>
      </c>
      <c r="M57" s="234">
        <v>0</v>
      </c>
      <c r="N57" s="234">
        <v>6.3640860000000004</v>
      </c>
      <c r="O57" s="234">
        <v>6.6038230000000002</v>
      </c>
      <c r="P57" s="234">
        <v>5.4640029999999999</v>
      </c>
      <c r="Q57" s="234">
        <v>6.7620259999999996</v>
      </c>
      <c r="R57" s="234">
        <v>5.8586960000000001</v>
      </c>
      <c r="S57" s="234">
        <v>5.6937949999999997</v>
      </c>
      <c r="T57" s="234">
        <v>6.0431819999999998</v>
      </c>
      <c r="U57" s="234">
        <v>6.1335870000000003</v>
      </c>
      <c r="V57" s="234">
        <v>6.2784620000000002</v>
      </c>
      <c r="W57" s="234">
        <v>0.70463900000000002</v>
      </c>
      <c r="X57" s="234">
        <v>0.88058499999999995</v>
      </c>
      <c r="Y57" s="234">
        <v>0.91833900000000002</v>
      </c>
      <c r="Z57" s="234">
        <v>0.70464000000000004</v>
      </c>
      <c r="AA57" s="234">
        <v>0.772559</v>
      </c>
      <c r="AB57" s="234">
        <v>0.94055200000000005</v>
      </c>
      <c r="AC57" s="234">
        <v>0.77681199999999995</v>
      </c>
      <c r="AD57" s="234">
        <v>0.75448999999999999</v>
      </c>
      <c r="AE57" s="234">
        <v>0.75486699999999995</v>
      </c>
      <c r="AF57" s="234">
        <v>0.86084700000000003</v>
      </c>
      <c r="AG57" s="234">
        <v>0.79055600000000004</v>
      </c>
      <c r="AH57" s="234">
        <v>0.95436299999999996</v>
      </c>
      <c r="AI57" s="234">
        <v>1.045993</v>
      </c>
      <c r="AJ57" s="234">
        <v>0.954129</v>
      </c>
      <c r="AK57" s="234">
        <v>1.109345</v>
      </c>
      <c r="AL57" s="234">
        <v>0.99987999999999999</v>
      </c>
      <c r="AM57" s="234">
        <v>0.95417600000000002</v>
      </c>
      <c r="AN57" s="234">
        <v>0.96732200000000002</v>
      </c>
      <c r="AO57" s="234">
        <v>0.96732200000000002</v>
      </c>
      <c r="AP57" s="234">
        <v>1.4533480000000001</v>
      </c>
      <c r="AQ57" s="234">
        <v>1.4610780000000001</v>
      </c>
      <c r="AR57" s="234">
        <v>1.3509930000000001</v>
      </c>
      <c r="AS57" s="234">
        <v>1.453341</v>
      </c>
      <c r="AT57" s="234">
        <v>1.508267</v>
      </c>
      <c r="AU57" s="234">
        <v>1.4009210000000001</v>
      </c>
      <c r="AV57" s="234">
        <v>1.518364</v>
      </c>
      <c r="AW57" s="234">
        <v>1.4483779999999999</v>
      </c>
      <c r="AX57" s="234">
        <v>1.3848739999999999</v>
      </c>
      <c r="AY57" s="234">
        <v>1.541566</v>
      </c>
      <c r="AZ57" s="234">
        <v>1.4086369999999999</v>
      </c>
      <c r="BA57" s="234">
        <v>1.443211</v>
      </c>
      <c r="BB57" s="235"/>
      <c r="BC57" s="234">
        <v>1.270221</v>
      </c>
      <c r="BD57" s="234">
        <v>1.329088</v>
      </c>
      <c r="BE57" s="234">
        <v>1.3493360000000001</v>
      </c>
      <c r="BF57" s="234">
        <v>1.2703610000000001</v>
      </c>
      <c r="BG57" s="234">
        <v>1.294089</v>
      </c>
      <c r="BH57" s="234">
        <v>1.3175349999999999</v>
      </c>
      <c r="BI57" s="234">
        <v>1.4170499999999999</v>
      </c>
      <c r="BJ57" s="234">
        <v>1.305531</v>
      </c>
      <c r="BK57" s="234">
        <v>1.299609</v>
      </c>
      <c r="BL57" s="234">
        <v>1.3200689999999999</v>
      </c>
      <c r="BM57" s="234">
        <v>1.340957</v>
      </c>
      <c r="BN57" s="234">
        <v>1.330479</v>
      </c>
      <c r="BO57" s="234">
        <v>3.2953640000000002</v>
      </c>
      <c r="BP57" s="234">
        <v>3.6061649999999998</v>
      </c>
      <c r="BQ57" s="234">
        <v>3.655697</v>
      </c>
      <c r="BR57" s="234">
        <v>3.2946469999999999</v>
      </c>
      <c r="BS57" s="234">
        <v>3.3429359999999999</v>
      </c>
      <c r="BT57" s="234">
        <v>3.3897539999999999</v>
      </c>
      <c r="BU57" s="234">
        <v>3.6006480000000001</v>
      </c>
      <c r="BV57" s="234">
        <v>3.367016</v>
      </c>
      <c r="BW57" s="234">
        <v>3.3653010000000001</v>
      </c>
      <c r="BX57" s="234">
        <v>3.405491</v>
      </c>
      <c r="BY57" s="234">
        <v>3.446939</v>
      </c>
      <c r="BZ57" s="234">
        <v>3.4264510000000001</v>
      </c>
      <c r="CA57" s="234">
        <v>0.35395900000000002</v>
      </c>
      <c r="CB57" s="234">
        <v>0.35527999999999998</v>
      </c>
      <c r="CC57" s="234">
        <v>0.35170299999999999</v>
      </c>
      <c r="CD57" s="234">
        <v>0.38999299999999998</v>
      </c>
      <c r="CE57" s="234">
        <v>0.38191700000000001</v>
      </c>
      <c r="CF57" s="234">
        <v>0.35285300000000003</v>
      </c>
      <c r="CG57" s="234">
        <v>0.354043</v>
      </c>
      <c r="CH57" s="234">
        <v>0.35280499999999998</v>
      </c>
      <c r="CI57" s="234">
        <v>1.299695</v>
      </c>
      <c r="CJ57" s="234">
        <v>1.3450629999999999</v>
      </c>
      <c r="CK57" s="234">
        <v>1.366323</v>
      </c>
      <c r="CL57" s="234">
        <v>1.2998190000000001</v>
      </c>
      <c r="CM57" s="234">
        <v>1.3239860000000001</v>
      </c>
      <c r="CN57" s="234">
        <v>1.3485910000000001</v>
      </c>
      <c r="CO57" s="234">
        <v>1.429794</v>
      </c>
      <c r="CP57" s="234">
        <v>1.3361050000000001</v>
      </c>
      <c r="CQ57" s="234">
        <v>1.330776</v>
      </c>
      <c r="CR57" s="234">
        <v>1.351016</v>
      </c>
      <c r="CS57" s="234">
        <v>1.372115</v>
      </c>
      <c r="CT57" s="234">
        <v>1.361375</v>
      </c>
      <c r="CU57" s="234">
        <v>2.912595</v>
      </c>
      <c r="CV57" s="234">
        <v>2.9163730000000001</v>
      </c>
      <c r="CW57" s="234">
        <v>3.3605260000000001</v>
      </c>
      <c r="CX57" s="234">
        <v>2.8967390000000002</v>
      </c>
      <c r="CY57" s="234">
        <v>3.1158570000000001</v>
      </c>
      <c r="CZ57" s="234">
        <v>3.1883910000000002</v>
      </c>
      <c r="DA57" s="234">
        <v>3.4245839999999999</v>
      </c>
      <c r="DB57" s="234">
        <v>2.889472</v>
      </c>
      <c r="DC57" s="234">
        <v>0.79950200000000005</v>
      </c>
      <c r="DD57" s="234">
        <v>0.79954899999999995</v>
      </c>
      <c r="DE57" s="234">
        <v>0.79898400000000003</v>
      </c>
      <c r="DF57" s="234">
        <v>0.82005399999999995</v>
      </c>
      <c r="DG57" s="234">
        <v>0.817056</v>
      </c>
      <c r="DH57" s="234">
        <v>0.79903400000000002</v>
      </c>
      <c r="DI57" s="234">
        <v>0.79951000000000005</v>
      </c>
      <c r="DJ57" s="234">
        <v>0.79904500000000001</v>
      </c>
      <c r="DK57" s="236"/>
      <c r="DL57" s="234">
        <v>17.988199999999999</v>
      </c>
      <c r="DM57" s="234">
        <v>117.95576985249967</v>
      </c>
      <c r="DN57" s="234">
        <v>163.32173336267252</v>
      </c>
      <c r="DO57" s="234">
        <v>177.31366390525451</v>
      </c>
      <c r="DP57" s="234">
        <v>7.7853859999999999</v>
      </c>
      <c r="DQ57" s="234">
        <v>187.85146176671313</v>
      </c>
      <c r="DR57" s="234">
        <v>203.93012040082212</v>
      </c>
      <c r="DS57" s="234">
        <v>6.5440460388347708</v>
      </c>
      <c r="DT57" s="234">
        <v>7.4570015202618132</v>
      </c>
      <c r="DU57" s="237"/>
      <c r="DV57" s="238">
        <v>55121.22</v>
      </c>
      <c r="DW57" s="238">
        <v>4169.4799999999996</v>
      </c>
      <c r="DX57" s="238">
        <v>75001.44013599999</v>
      </c>
      <c r="DY57" s="238">
        <v>13245.99</v>
      </c>
      <c r="DZ57" s="238">
        <v>238271.517318</v>
      </c>
      <c r="EB57" s="239">
        <v>45044</v>
      </c>
      <c r="EC57" s="239">
        <v>45077</v>
      </c>
    </row>
    <row r="58" spans="1:133" x14ac:dyDescent="0.35">
      <c r="A58" s="233">
        <v>45077</v>
      </c>
      <c r="B58" s="234">
        <v>3.1639849999999998</v>
      </c>
      <c r="C58" s="234">
        <v>3.6605620000000001</v>
      </c>
      <c r="D58" s="234">
        <v>3.1639840000000001</v>
      </c>
      <c r="E58" s="234">
        <v>3.8348779999999998</v>
      </c>
      <c r="F58" s="234">
        <v>3.3483390000000002</v>
      </c>
      <c r="G58" s="234">
        <v>3.2327240000000002</v>
      </c>
      <c r="H58" s="234">
        <v>3.1756570000000002</v>
      </c>
      <c r="I58" s="234">
        <v>3.244767</v>
      </c>
      <c r="J58" s="234">
        <v>2.8340169999999998</v>
      </c>
      <c r="K58" s="234">
        <v>2.998154</v>
      </c>
      <c r="L58" s="234">
        <v>5.5076499999999999</v>
      </c>
      <c r="M58" s="234">
        <v>0</v>
      </c>
      <c r="N58" s="234">
        <v>6.4158030000000004</v>
      </c>
      <c r="O58" s="234">
        <v>6.6654280000000004</v>
      </c>
      <c r="P58" s="234">
        <v>5.5076450000000001</v>
      </c>
      <c r="Q58" s="234">
        <v>6.8264199999999997</v>
      </c>
      <c r="R58" s="234">
        <v>5.9125889999999997</v>
      </c>
      <c r="S58" s="234">
        <v>5.7400650000000004</v>
      </c>
      <c r="T58" s="234">
        <v>6.0958899999999998</v>
      </c>
      <c r="U58" s="234">
        <v>6.1900449999999996</v>
      </c>
      <c r="V58" s="234">
        <v>6.3340519999999998</v>
      </c>
      <c r="W58" s="234">
        <v>0.70996000000000004</v>
      </c>
      <c r="X58" s="234">
        <v>0.88797099999999995</v>
      </c>
      <c r="Y58" s="234">
        <v>0.92626200000000003</v>
      </c>
      <c r="Z58" s="234">
        <v>0.70996000000000004</v>
      </c>
      <c r="AA58" s="234">
        <v>0.77877099999999999</v>
      </c>
      <c r="AB58" s="234">
        <v>0.94952700000000001</v>
      </c>
      <c r="AC58" s="234">
        <v>0.78399300000000005</v>
      </c>
      <c r="AD58" s="234">
        <v>0.76078900000000005</v>
      </c>
      <c r="AE58" s="234">
        <v>0.76075400000000004</v>
      </c>
      <c r="AF58" s="234">
        <v>0.86819199999999996</v>
      </c>
      <c r="AG58" s="234">
        <v>0.79706100000000002</v>
      </c>
      <c r="AH58" s="234">
        <v>0.94108599999999998</v>
      </c>
      <c r="AI58" s="234">
        <v>1.0314559999999999</v>
      </c>
      <c r="AJ58" s="234">
        <v>0.940855</v>
      </c>
      <c r="AK58" s="234">
        <v>1.095018</v>
      </c>
      <c r="AL58" s="234">
        <v>0.98677000000000004</v>
      </c>
      <c r="AM58" s="234">
        <v>0.94090200000000002</v>
      </c>
      <c r="AN58" s="234">
        <v>0.95386499999999996</v>
      </c>
      <c r="AO58" s="234">
        <v>0.95386599999999999</v>
      </c>
      <c r="AP58" s="234">
        <v>1.4657960000000001</v>
      </c>
      <c r="AQ58" s="234">
        <v>1.4741010000000001</v>
      </c>
      <c r="AR58" s="234">
        <v>1.3619049999999999</v>
      </c>
      <c r="AS58" s="234">
        <v>1.4657899999999999</v>
      </c>
      <c r="AT58" s="234">
        <v>1.521555</v>
      </c>
      <c r="AU58" s="234">
        <v>1.412579</v>
      </c>
      <c r="AV58" s="234">
        <v>1.5329250000000001</v>
      </c>
      <c r="AW58" s="234">
        <v>1.461829</v>
      </c>
      <c r="AX58" s="234">
        <v>1.396156</v>
      </c>
      <c r="AY58" s="234">
        <v>1.5552429999999999</v>
      </c>
      <c r="AZ58" s="234">
        <v>1.4210370000000001</v>
      </c>
      <c r="BA58" s="234">
        <v>1.456013</v>
      </c>
      <c r="BB58" s="235"/>
      <c r="BC58" s="234">
        <v>1.270529</v>
      </c>
      <c r="BD58" s="234">
        <v>1.329828</v>
      </c>
      <c r="BE58" s="234">
        <v>1.350414</v>
      </c>
      <c r="BF58" s="234">
        <v>1.270669</v>
      </c>
      <c r="BG58" s="234">
        <v>1.294726</v>
      </c>
      <c r="BH58" s="234">
        <v>1.3184979999999999</v>
      </c>
      <c r="BI58" s="234">
        <v>1.4198789999999999</v>
      </c>
      <c r="BJ58" s="234">
        <v>1.3063229999999999</v>
      </c>
      <c r="BK58" s="234">
        <v>1.3003990000000001</v>
      </c>
      <c r="BL58" s="234">
        <v>1.3211489999999999</v>
      </c>
      <c r="BM58" s="234">
        <v>1.342336</v>
      </c>
      <c r="BN58" s="234">
        <v>1.3317060000000001</v>
      </c>
      <c r="BO58" s="234">
        <v>3.279261</v>
      </c>
      <c r="BP58" s="234">
        <v>3.589537</v>
      </c>
      <c r="BQ58" s="234">
        <v>3.639742</v>
      </c>
      <c r="BR58" s="234">
        <v>3.2785470000000001</v>
      </c>
      <c r="BS58" s="234">
        <v>3.327426</v>
      </c>
      <c r="BT58" s="234">
        <v>3.3748330000000002</v>
      </c>
      <c r="BU58" s="234">
        <v>3.5886689999999999</v>
      </c>
      <c r="BV58" s="234">
        <v>3.3518110000000001</v>
      </c>
      <c r="BW58" s="234">
        <v>3.350104</v>
      </c>
      <c r="BX58" s="234">
        <v>3.3907780000000001</v>
      </c>
      <c r="BY58" s="234">
        <v>3.432782</v>
      </c>
      <c r="BZ58" s="234">
        <v>3.4120349999999999</v>
      </c>
      <c r="CA58" s="234">
        <v>0.349298</v>
      </c>
      <c r="CB58" s="234">
        <v>0.35060400000000003</v>
      </c>
      <c r="CC58" s="234">
        <v>0.34707199999999999</v>
      </c>
      <c r="CD58" s="234">
        <v>0.38550299999999998</v>
      </c>
      <c r="CE58" s="234">
        <v>0.377446</v>
      </c>
      <c r="CF58" s="234">
        <v>0.34820899999999999</v>
      </c>
      <c r="CG58" s="234">
        <v>0.34938200000000003</v>
      </c>
      <c r="CH58" s="234">
        <v>0.34815600000000002</v>
      </c>
      <c r="CI58" s="234">
        <v>1.2883830000000001</v>
      </c>
      <c r="CJ58" s="234">
        <v>1.333726</v>
      </c>
      <c r="CK58" s="234">
        <v>1.3551390000000001</v>
      </c>
      <c r="CL58" s="234">
        <v>1.2885059999999999</v>
      </c>
      <c r="CM58" s="234">
        <v>1.3127880000000001</v>
      </c>
      <c r="CN58" s="234">
        <v>1.337518</v>
      </c>
      <c r="CO58" s="234">
        <v>1.4195310000000001</v>
      </c>
      <c r="CP58" s="234">
        <v>1.32497</v>
      </c>
      <c r="CQ58" s="234">
        <v>1.319685</v>
      </c>
      <c r="CR58" s="234">
        <v>1.3400380000000001</v>
      </c>
      <c r="CS58" s="234">
        <v>1.361251</v>
      </c>
      <c r="CT58" s="234">
        <v>1.3504510000000001</v>
      </c>
      <c r="CU58" s="234">
        <v>2.7901129999999998</v>
      </c>
      <c r="CV58" s="234">
        <v>2.7937419999999999</v>
      </c>
      <c r="CW58" s="234">
        <v>3.2266010000000001</v>
      </c>
      <c r="CX58" s="234">
        <v>2.7740279999999999</v>
      </c>
      <c r="CY58" s="234">
        <v>2.988372</v>
      </c>
      <c r="CZ58" s="234">
        <v>3.05844</v>
      </c>
      <c r="DA58" s="234">
        <v>3.2898299999999998</v>
      </c>
      <c r="DB58" s="234">
        <v>2.7670539999999999</v>
      </c>
      <c r="DC58" s="234">
        <v>0.85302299999999998</v>
      </c>
      <c r="DD58" s="234">
        <v>0.85307999999999995</v>
      </c>
      <c r="DE58" s="234">
        <v>0.852468</v>
      </c>
      <c r="DF58" s="234">
        <v>0.87641800000000003</v>
      </c>
      <c r="DG58" s="234">
        <v>0.87303799999999998</v>
      </c>
      <c r="DH58" s="234">
        <v>0.85252700000000003</v>
      </c>
      <c r="DI58" s="234">
        <v>0.85303099999999998</v>
      </c>
      <c r="DJ58" s="234">
        <v>0.85253699999999999</v>
      </c>
      <c r="DK58" s="236"/>
      <c r="DL58" s="234">
        <v>17.688600000000001</v>
      </c>
      <c r="DM58" s="234">
        <v>118.24662912166097</v>
      </c>
      <c r="DN58" s="234">
        <v>164.67512612647121</v>
      </c>
      <c r="DO58" s="234">
        <v>178.80738376226969</v>
      </c>
      <c r="DP58" s="234">
        <v>7.7823219999999997</v>
      </c>
      <c r="DQ58" s="234">
        <v>189.8127875704424</v>
      </c>
      <c r="DR58" s="234">
        <v>206.08736119112882</v>
      </c>
      <c r="DS58" s="234">
        <v>6.6109196453056231</v>
      </c>
      <c r="DT58" s="234">
        <v>7.5342299565064055</v>
      </c>
      <c r="DU58" s="237"/>
      <c r="DV58" s="238">
        <v>52736.26</v>
      </c>
      <c r="DW58" s="238">
        <v>4179.83</v>
      </c>
      <c r="DX58" s="238">
        <v>73935.340938000008</v>
      </c>
      <c r="DY58" s="238">
        <v>14254.09</v>
      </c>
      <c r="DZ58" s="238">
        <v>252134.896374</v>
      </c>
      <c r="EB58" s="239">
        <v>45077</v>
      </c>
      <c r="EC58" s="239">
        <v>45107</v>
      </c>
    </row>
    <row r="59" spans="1:133" x14ac:dyDescent="0.35">
      <c r="A59" s="233">
        <v>45107</v>
      </c>
      <c r="B59" s="234">
        <v>3.1030679999999999</v>
      </c>
      <c r="C59" s="234">
        <v>3.5906009999999999</v>
      </c>
      <c r="D59" s="234">
        <v>3.1030669999999998</v>
      </c>
      <c r="E59" s="234">
        <v>3.7661799999999999</v>
      </c>
      <c r="F59" s="234">
        <v>3.2872400000000002</v>
      </c>
      <c r="G59" s="234">
        <v>3.1707779999999999</v>
      </c>
      <c r="H59" s="234">
        <v>3.1145170000000002</v>
      </c>
      <c r="I59" s="234">
        <v>3.1825939999999999</v>
      </c>
      <c r="J59" s="234">
        <v>2.8592330000000001</v>
      </c>
      <c r="K59" s="234">
        <v>3.0252829999999999</v>
      </c>
      <c r="L59" s="234">
        <v>5.5540890000000003</v>
      </c>
      <c r="M59" s="234">
        <v>0</v>
      </c>
      <c r="N59" s="234">
        <v>6.4708540000000001</v>
      </c>
      <c r="O59" s="234">
        <v>6.7311730000000001</v>
      </c>
      <c r="P59" s="234">
        <v>5.5540849999999997</v>
      </c>
      <c r="Q59" s="234">
        <v>6.8951659999999997</v>
      </c>
      <c r="R59" s="234">
        <v>5.9700889999999998</v>
      </c>
      <c r="S59" s="234">
        <v>5.7893179999999997</v>
      </c>
      <c r="T59" s="234">
        <v>6.1520679999999999</v>
      </c>
      <c r="U59" s="234">
        <v>6.2502810000000002</v>
      </c>
      <c r="V59" s="234">
        <v>6.3933090000000004</v>
      </c>
      <c r="W59" s="234">
        <v>0.71564799999999995</v>
      </c>
      <c r="X59" s="234">
        <v>0.89587799999999995</v>
      </c>
      <c r="Y59" s="234">
        <v>0.93474699999999999</v>
      </c>
      <c r="Z59" s="234">
        <v>0.71564899999999998</v>
      </c>
      <c r="AA59" s="234">
        <v>0.78541899999999998</v>
      </c>
      <c r="AB59" s="234">
        <v>0.95915099999999998</v>
      </c>
      <c r="AC59" s="234">
        <v>0.79169199999999995</v>
      </c>
      <c r="AD59" s="234">
        <v>0.76752799999999999</v>
      </c>
      <c r="AE59" s="234">
        <v>0.76705000000000001</v>
      </c>
      <c r="AF59" s="234">
        <v>0.876058</v>
      </c>
      <c r="AG59" s="234">
        <v>0.80401900000000004</v>
      </c>
      <c r="AH59" s="234">
        <v>0.91329700000000003</v>
      </c>
      <c r="AI59" s="234">
        <v>1.0010140000000001</v>
      </c>
      <c r="AJ59" s="234">
        <v>0.91307300000000002</v>
      </c>
      <c r="AK59" s="234">
        <v>1.063831</v>
      </c>
      <c r="AL59" s="234">
        <v>0.95846100000000001</v>
      </c>
      <c r="AM59" s="234">
        <v>0.91311900000000001</v>
      </c>
      <c r="AN59" s="234">
        <v>0.92569900000000005</v>
      </c>
      <c r="AO59" s="234">
        <v>0.92571000000000003</v>
      </c>
      <c r="AP59" s="234">
        <v>1.4791160000000001</v>
      </c>
      <c r="AQ59" s="234">
        <v>1.488043</v>
      </c>
      <c r="AR59" s="234">
        <v>1.373569</v>
      </c>
      <c r="AS59" s="234">
        <v>1.479109</v>
      </c>
      <c r="AT59" s="234">
        <v>1.5357769999999999</v>
      </c>
      <c r="AU59" s="234">
        <v>1.425046</v>
      </c>
      <c r="AV59" s="234">
        <v>1.54853</v>
      </c>
      <c r="AW59" s="234">
        <v>1.476237</v>
      </c>
      <c r="AX59" s="234">
        <v>1.408207</v>
      </c>
      <c r="AY59" s="234">
        <v>1.5698730000000001</v>
      </c>
      <c r="AZ59" s="234">
        <v>1.4343079999999999</v>
      </c>
      <c r="BA59" s="234">
        <v>1.4697039999999999</v>
      </c>
      <c r="BB59" s="235"/>
      <c r="BC59" s="234">
        <v>1.2841100000000001</v>
      </c>
      <c r="BD59" s="234">
        <v>1.3444929999999999</v>
      </c>
      <c r="BE59" s="234">
        <v>1.365659</v>
      </c>
      <c r="BF59" s="234">
        <v>1.2842519999999999</v>
      </c>
      <c r="BG59" s="234">
        <v>1.308913</v>
      </c>
      <c r="BH59" s="234">
        <v>1.3332870000000001</v>
      </c>
      <c r="BI59" s="234">
        <v>1.4377409999999999</v>
      </c>
      <c r="BJ59" s="234">
        <v>1.3208</v>
      </c>
      <c r="BK59" s="234">
        <v>1.31481</v>
      </c>
      <c r="BL59" s="234">
        <v>1.33609</v>
      </c>
      <c r="BM59" s="234">
        <v>1.3578220000000001</v>
      </c>
      <c r="BN59" s="234">
        <v>1.3469230000000001</v>
      </c>
      <c r="BO59" s="234">
        <v>3.33853</v>
      </c>
      <c r="BP59" s="234">
        <v>3.6554929999999999</v>
      </c>
      <c r="BQ59" s="234">
        <v>3.7075610000000001</v>
      </c>
      <c r="BR59" s="234">
        <v>3.3378030000000001</v>
      </c>
      <c r="BS59" s="234">
        <v>3.3884629999999998</v>
      </c>
      <c r="BT59" s="234">
        <v>3.4376150000000001</v>
      </c>
      <c r="BU59" s="234">
        <v>3.6596389999999999</v>
      </c>
      <c r="BV59" s="234">
        <v>3.4137469999999999</v>
      </c>
      <c r="BW59" s="234">
        <v>3.4120089999999998</v>
      </c>
      <c r="BX59" s="234">
        <v>3.4541719999999998</v>
      </c>
      <c r="BY59" s="234">
        <v>3.4977469999999999</v>
      </c>
      <c r="BZ59" s="234">
        <v>3.4762360000000001</v>
      </c>
      <c r="CA59" s="234">
        <v>0.35880899999999999</v>
      </c>
      <c r="CB59" s="234">
        <v>0.360153</v>
      </c>
      <c r="CC59" s="234">
        <v>0.35640699999999997</v>
      </c>
      <c r="CD59" s="234">
        <v>0.39670800000000001</v>
      </c>
      <c r="CE59" s="234">
        <v>0.38821</v>
      </c>
      <c r="CF59" s="234">
        <v>0.357576</v>
      </c>
      <c r="CG59" s="234">
        <v>0.35889500000000002</v>
      </c>
      <c r="CH59" s="234">
        <v>0.35752499999999998</v>
      </c>
      <c r="CI59" s="234">
        <v>1.313067</v>
      </c>
      <c r="CJ59" s="234">
        <v>1.359675</v>
      </c>
      <c r="CK59" s="234">
        <v>1.3818710000000001</v>
      </c>
      <c r="CL59" s="234">
        <v>1.3131919999999999</v>
      </c>
      <c r="CM59" s="234">
        <v>1.3382940000000001</v>
      </c>
      <c r="CN59" s="234">
        <v>1.3638650000000001</v>
      </c>
      <c r="CO59" s="234">
        <v>1.4491019999999999</v>
      </c>
      <c r="CP59" s="234">
        <v>1.3508910000000001</v>
      </c>
      <c r="CQ59" s="234">
        <v>1.345502</v>
      </c>
      <c r="CR59" s="234">
        <v>1.36656</v>
      </c>
      <c r="CS59" s="234">
        <v>1.388498</v>
      </c>
      <c r="CT59" s="234">
        <v>1.3773260000000001</v>
      </c>
      <c r="CU59" s="234">
        <v>2.832325</v>
      </c>
      <c r="CV59" s="234">
        <v>2.836023</v>
      </c>
      <c r="CW59" s="234">
        <v>3.2823869999999999</v>
      </c>
      <c r="CX59" s="234">
        <v>2.8141189999999998</v>
      </c>
      <c r="CY59" s="234">
        <v>3.037445</v>
      </c>
      <c r="CZ59" s="234">
        <v>3.1081789999999998</v>
      </c>
      <c r="DA59" s="234">
        <v>3.3496589999999999</v>
      </c>
      <c r="DB59" s="234">
        <v>2.8070249999999999</v>
      </c>
      <c r="DC59" s="234">
        <v>0.88326499999999997</v>
      </c>
      <c r="DD59" s="234">
        <v>0.88332999999999995</v>
      </c>
      <c r="DE59" s="234">
        <v>0.88260700000000003</v>
      </c>
      <c r="DF59" s="234">
        <v>0.90911699999999995</v>
      </c>
      <c r="DG59" s="234">
        <v>0.905331</v>
      </c>
      <c r="DH59" s="234">
        <v>0.88267700000000004</v>
      </c>
      <c r="DI59" s="234">
        <v>0.883274</v>
      </c>
      <c r="DJ59" s="234">
        <v>0.88268500000000005</v>
      </c>
      <c r="DK59" s="236"/>
      <c r="DL59" s="234">
        <v>17.115600000000001</v>
      </c>
      <c r="DM59" s="234">
        <v>118.50874248288066</v>
      </c>
      <c r="DN59" s="234">
        <v>165.92528479231467</v>
      </c>
      <c r="DO59" s="234">
        <v>180.18718074030187</v>
      </c>
      <c r="DP59" s="234">
        <v>7.7667679999999999</v>
      </c>
      <c r="DQ59" s="234">
        <v>191.60810018621282</v>
      </c>
      <c r="DR59" s="234">
        <v>208.06236506921047</v>
      </c>
      <c r="DS59" s="234">
        <v>6.6714921965557359</v>
      </c>
      <c r="DT59" s="234">
        <v>7.6042041172274581</v>
      </c>
      <c r="DU59" s="237"/>
      <c r="DV59" s="238">
        <v>53526.1</v>
      </c>
      <c r="DW59" s="238">
        <v>4450.38</v>
      </c>
      <c r="DX59" s="238">
        <v>76170.923928000004</v>
      </c>
      <c r="DY59" s="238">
        <v>15179.21</v>
      </c>
      <c r="DZ59" s="238">
        <v>259801.28667599999</v>
      </c>
      <c r="EB59" s="239">
        <v>45107</v>
      </c>
      <c r="EC59" s="239">
        <v>45138</v>
      </c>
    </row>
    <row r="60" spans="1:133" x14ac:dyDescent="0.35">
      <c r="A60" s="233">
        <v>45138</v>
      </c>
      <c r="B60" s="234">
        <v>3.11328</v>
      </c>
      <c r="C60" s="234">
        <v>3.6028920000000002</v>
      </c>
      <c r="D60" s="234">
        <v>3.1132789999999999</v>
      </c>
      <c r="E60" s="234">
        <v>3.7832569999999999</v>
      </c>
      <c r="F60" s="234">
        <v>3.3011240000000002</v>
      </c>
      <c r="G60" s="234">
        <v>3.181486</v>
      </c>
      <c r="H60" s="234">
        <v>3.124768</v>
      </c>
      <c r="I60" s="234">
        <v>3.193336</v>
      </c>
      <c r="J60" s="234">
        <v>2.882279</v>
      </c>
      <c r="K60" s="234">
        <v>3.0500790000000002</v>
      </c>
      <c r="L60" s="234">
        <v>5.5964159999999996</v>
      </c>
      <c r="M60" s="234">
        <v>0</v>
      </c>
      <c r="N60" s="234">
        <v>6.5210359999999996</v>
      </c>
      <c r="O60" s="234">
        <v>6.791194</v>
      </c>
      <c r="P60" s="234">
        <v>5.5964109999999998</v>
      </c>
      <c r="Q60" s="234">
        <v>6.9579519999999997</v>
      </c>
      <c r="R60" s="234">
        <v>6.0225759999999999</v>
      </c>
      <c r="S60" s="234">
        <v>5.8342150000000004</v>
      </c>
      <c r="T60" s="234">
        <v>6.2033189999999996</v>
      </c>
      <c r="U60" s="234">
        <v>6.3052669999999997</v>
      </c>
      <c r="V60" s="234">
        <v>6.4473859999999998</v>
      </c>
      <c r="W60" s="234">
        <v>0.72080500000000003</v>
      </c>
      <c r="X60" s="234">
        <v>0.90305500000000005</v>
      </c>
      <c r="Y60" s="234">
        <v>0.94245299999999999</v>
      </c>
      <c r="Z60" s="234">
        <v>0.72080500000000003</v>
      </c>
      <c r="AA60" s="234">
        <v>0.79144999999999999</v>
      </c>
      <c r="AB60" s="234">
        <v>0.96790600000000004</v>
      </c>
      <c r="AC60" s="234">
        <v>0.79869199999999996</v>
      </c>
      <c r="AD60" s="234">
        <v>0.773648</v>
      </c>
      <c r="AE60" s="234">
        <v>0.77276100000000003</v>
      </c>
      <c r="AF60" s="234">
        <v>0.88320200000000004</v>
      </c>
      <c r="AG60" s="234">
        <v>0.81033900000000003</v>
      </c>
      <c r="AH60" s="234">
        <v>0.89594200000000002</v>
      </c>
      <c r="AI60" s="234">
        <v>0.98200200000000004</v>
      </c>
      <c r="AJ60" s="234">
        <v>0.89572200000000002</v>
      </c>
      <c r="AK60" s="234">
        <v>1.0446340000000001</v>
      </c>
      <c r="AL60" s="234">
        <v>0.94098499999999996</v>
      </c>
      <c r="AM60" s="234">
        <v>0.89576699999999998</v>
      </c>
      <c r="AN60" s="234">
        <v>0.90810800000000003</v>
      </c>
      <c r="AO60" s="234">
        <v>0.90812300000000001</v>
      </c>
      <c r="AP60" s="234">
        <v>1.491242</v>
      </c>
      <c r="AQ60" s="234">
        <v>1.5007470000000001</v>
      </c>
      <c r="AR60" s="234">
        <v>1.3841810000000001</v>
      </c>
      <c r="AS60" s="234">
        <v>1.491236</v>
      </c>
      <c r="AT60" s="234">
        <v>1.5487310000000001</v>
      </c>
      <c r="AU60" s="234">
        <v>1.4363919999999999</v>
      </c>
      <c r="AV60" s="234">
        <v>1.5627629999999999</v>
      </c>
      <c r="AW60" s="234">
        <v>1.4893689999999999</v>
      </c>
      <c r="AX60" s="234">
        <v>1.4191720000000001</v>
      </c>
      <c r="AY60" s="234">
        <v>1.583199</v>
      </c>
      <c r="AZ60" s="234">
        <v>1.4463969999999999</v>
      </c>
      <c r="BA60" s="234">
        <v>1.4821740000000001</v>
      </c>
      <c r="BB60" s="235"/>
      <c r="BC60" s="234">
        <v>1.2960039999999999</v>
      </c>
      <c r="BD60" s="234">
        <v>1.357356</v>
      </c>
      <c r="BE60" s="234">
        <v>1.379046</v>
      </c>
      <c r="BF60" s="234">
        <v>1.2961469999999999</v>
      </c>
      <c r="BG60" s="234">
        <v>1.3213550000000001</v>
      </c>
      <c r="BH60" s="234">
        <v>1.3462730000000001</v>
      </c>
      <c r="BI60" s="234">
        <v>1.4535180000000001</v>
      </c>
      <c r="BJ60" s="234">
        <v>1.333504</v>
      </c>
      <c r="BK60" s="234">
        <v>1.327458</v>
      </c>
      <c r="BL60" s="234">
        <v>1.3492150000000001</v>
      </c>
      <c r="BM60" s="234">
        <v>1.37144</v>
      </c>
      <c r="BN60" s="234">
        <v>1.360298</v>
      </c>
      <c r="BO60" s="234">
        <v>3.3598870000000001</v>
      </c>
      <c r="BP60" s="234">
        <v>3.6798630000000001</v>
      </c>
      <c r="BQ60" s="234">
        <v>3.7331120000000002</v>
      </c>
      <c r="BR60" s="234">
        <v>3.359156</v>
      </c>
      <c r="BS60" s="234">
        <v>3.4109590000000001</v>
      </c>
      <c r="BT60" s="234">
        <v>3.461236</v>
      </c>
      <c r="BU60" s="234">
        <v>3.6886320000000001</v>
      </c>
      <c r="BV60" s="234">
        <v>3.436823</v>
      </c>
      <c r="BW60" s="234">
        <v>3.435073</v>
      </c>
      <c r="BX60" s="234">
        <v>3.478202</v>
      </c>
      <c r="BY60" s="234">
        <v>3.5227889999999999</v>
      </c>
      <c r="BZ60" s="234">
        <v>3.5007760000000001</v>
      </c>
      <c r="CA60" s="234">
        <v>0.36182999999999998</v>
      </c>
      <c r="CB60" s="234">
        <v>0.36318699999999998</v>
      </c>
      <c r="CC60" s="234">
        <v>0.35940699999999998</v>
      </c>
      <c r="CD60" s="234">
        <v>0.40069500000000002</v>
      </c>
      <c r="CE60" s="234">
        <v>0.39203700000000002</v>
      </c>
      <c r="CF60" s="234">
        <v>0.36058800000000002</v>
      </c>
      <c r="CG60" s="234">
        <v>0.36191699999999999</v>
      </c>
      <c r="CH60" s="234">
        <v>0.36053099999999999</v>
      </c>
      <c r="CI60" s="234">
        <v>1.3301799999999999</v>
      </c>
      <c r="CJ60" s="234">
        <v>1.377761</v>
      </c>
      <c r="CK60" s="234">
        <v>1.4005840000000001</v>
      </c>
      <c r="CL60" s="234">
        <v>1.3303069999999999</v>
      </c>
      <c r="CM60" s="234">
        <v>1.3560620000000001</v>
      </c>
      <c r="CN60" s="234">
        <v>1.3823049999999999</v>
      </c>
      <c r="CO60" s="234">
        <v>1.470172</v>
      </c>
      <c r="CP60" s="234">
        <v>1.3689910000000001</v>
      </c>
      <c r="CQ60" s="234">
        <v>1.3635299999999999</v>
      </c>
      <c r="CR60" s="234">
        <v>1.385151</v>
      </c>
      <c r="CS60" s="234">
        <v>1.407675</v>
      </c>
      <c r="CT60" s="234">
        <v>1.3962030000000001</v>
      </c>
      <c r="CU60" s="234">
        <v>2.8992010000000001</v>
      </c>
      <c r="CV60" s="234">
        <v>2.9029959999999999</v>
      </c>
      <c r="CW60" s="234">
        <v>3.3681239999999999</v>
      </c>
      <c r="CX60" s="234">
        <v>2.8803269999999999</v>
      </c>
      <c r="CY60" s="234">
        <v>3.1127379999999998</v>
      </c>
      <c r="CZ60" s="234">
        <v>3.1864370000000002</v>
      </c>
      <c r="DA60" s="234">
        <v>3.438107</v>
      </c>
      <c r="DB60" s="234">
        <v>2.873049</v>
      </c>
      <c r="DC60" s="234">
        <v>0.89775199999999999</v>
      </c>
      <c r="DD60" s="234">
        <v>0.89782600000000001</v>
      </c>
      <c r="DE60" s="234">
        <v>0.89708200000000005</v>
      </c>
      <c r="DF60" s="234">
        <v>0.92552800000000002</v>
      </c>
      <c r="DG60" s="234">
        <v>0.92149499999999995</v>
      </c>
      <c r="DH60" s="234">
        <v>0.89716300000000004</v>
      </c>
      <c r="DI60" s="234">
        <v>0.89776100000000003</v>
      </c>
      <c r="DJ60" s="234">
        <v>0.89717100000000005</v>
      </c>
      <c r="DK60" s="236"/>
      <c r="DL60" s="234">
        <v>16.744199999999999</v>
      </c>
      <c r="DM60" s="234">
        <v>118.78019334135672</v>
      </c>
      <c r="DN60" s="234">
        <v>167.22978016328048</v>
      </c>
      <c r="DO60" s="234">
        <v>181.62707652239547</v>
      </c>
      <c r="DP60" s="234">
        <v>7.7892970000000004</v>
      </c>
      <c r="DQ60" s="234">
        <v>193.48080324317166</v>
      </c>
      <c r="DR60" s="234">
        <v>210.12276043440974</v>
      </c>
      <c r="DS60" s="234">
        <v>6.7350594714391132</v>
      </c>
      <c r="DT60" s="234">
        <v>7.6776406623501208</v>
      </c>
      <c r="DU60" s="237"/>
      <c r="DV60" s="238">
        <v>54819.05</v>
      </c>
      <c r="DW60" s="238">
        <v>4588.96</v>
      </c>
      <c r="DX60" s="238">
        <v>76838.464032000003</v>
      </c>
      <c r="DY60" s="238">
        <v>15757</v>
      </c>
      <c r="DZ60" s="238">
        <v>263838.35940000002</v>
      </c>
      <c r="EB60" s="239">
        <v>45138</v>
      </c>
      <c r="EC60" s="239">
        <v>45169</v>
      </c>
    </row>
    <row r="61" spans="1:133" x14ac:dyDescent="0.35">
      <c r="A61" s="233">
        <v>45169</v>
      </c>
      <c r="B61" s="234">
        <v>3.096428</v>
      </c>
      <c r="C61" s="234">
        <v>3.583901</v>
      </c>
      <c r="D61" s="234">
        <v>3.0964269999999998</v>
      </c>
      <c r="E61" s="234">
        <v>3.7675830000000001</v>
      </c>
      <c r="F61" s="234">
        <v>3.2863570000000002</v>
      </c>
      <c r="G61" s="234">
        <v>3.1645569999999998</v>
      </c>
      <c r="H61" s="234">
        <v>3.1078549999999998</v>
      </c>
      <c r="I61" s="234">
        <v>3.176323</v>
      </c>
      <c r="J61" s="234">
        <v>2.9073889999999998</v>
      </c>
      <c r="K61" s="234">
        <v>3.0770949999999999</v>
      </c>
      <c r="L61" s="234">
        <v>5.6414660000000003</v>
      </c>
      <c r="M61" s="234">
        <v>0</v>
      </c>
      <c r="N61" s="234">
        <v>6.5744559999999996</v>
      </c>
      <c r="O61" s="234">
        <v>6.8552629999999999</v>
      </c>
      <c r="P61" s="234">
        <v>5.6414619999999998</v>
      </c>
      <c r="Q61" s="234">
        <v>7.0247289999999998</v>
      </c>
      <c r="R61" s="234">
        <v>6.0785999999999998</v>
      </c>
      <c r="S61" s="234">
        <v>5.8820079999999999</v>
      </c>
      <c r="T61" s="234">
        <v>6.2579640000000003</v>
      </c>
      <c r="U61" s="234">
        <v>6.3639580000000002</v>
      </c>
      <c r="V61" s="234">
        <v>6.50502</v>
      </c>
      <c r="W61" s="234">
        <v>0.72643800000000003</v>
      </c>
      <c r="X61" s="234">
        <v>0.91089200000000003</v>
      </c>
      <c r="Y61" s="234">
        <v>0.95084800000000003</v>
      </c>
      <c r="Z61" s="234">
        <v>0.72643800000000003</v>
      </c>
      <c r="AA61" s="234">
        <v>0.798037</v>
      </c>
      <c r="AB61" s="234">
        <v>0.97741299999999998</v>
      </c>
      <c r="AC61" s="234">
        <v>0.80633200000000005</v>
      </c>
      <c r="AD61" s="234">
        <v>0.78030999999999995</v>
      </c>
      <c r="AE61" s="234">
        <v>0.77899799999999997</v>
      </c>
      <c r="AF61" s="234">
        <v>0.890984</v>
      </c>
      <c r="AG61" s="234">
        <v>0.81721200000000005</v>
      </c>
      <c r="AH61" s="234">
        <v>0.91551199999999999</v>
      </c>
      <c r="AI61" s="234">
        <v>1.0034670000000001</v>
      </c>
      <c r="AJ61" s="234">
        <v>0.91528699999999996</v>
      </c>
      <c r="AK61" s="234">
        <v>1.0685229999999999</v>
      </c>
      <c r="AL61" s="234">
        <v>0.96234500000000001</v>
      </c>
      <c r="AM61" s="234">
        <v>0.91533299999999995</v>
      </c>
      <c r="AN61" s="234">
        <v>0.92794399999999999</v>
      </c>
      <c r="AO61" s="234">
        <v>0.92796199999999995</v>
      </c>
      <c r="AP61" s="234">
        <v>1.503549</v>
      </c>
      <c r="AQ61" s="234">
        <v>1.5144249999999999</v>
      </c>
      <c r="AR61" s="234">
        <v>1.3955919999999999</v>
      </c>
      <c r="AS61" s="234">
        <v>1.504297</v>
      </c>
      <c r="AT61" s="234">
        <v>1.562673</v>
      </c>
      <c r="AU61" s="234">
        <v>1.4486250000000001</v>
      </c>
      <c r="AV61" s="234">
        <v>1.5780209999999999</v>
      </c>
      <c r="AW61" s="234">
        <v>1.5035099999999999</v>
      </c>
      <c r="AX61" s="234">
        <v>1.4309639999999999</v>
      </c>
      <c r="AY61" s="234">
        <v>1.597545</v>
      </c>
      <c r="AZ61" s="234">
        <v>1.4594050000000001</v>
      </c>
      <c r="BA61" s="234">
        <v>1.4955970000000001</v>
      </c>
      <c r="BB61" s="235"/>
      <c r="BC61" s="234">
        <v>1.2886340000000001</v>
      </c>
      <c r="BD61" s="234">
        <v>1.3500779999999999</v>
      </c>
      <c r="BE61" s="234">
        <v>1.371996</v>
      </c>
      <c r="BF61" s="234">
        <v>1.2887759999999999</v>
      </c>
      <c r="BG61" s="234">
        <v>1.314179</v>
      </c>
      <c r="BH61" s="234">
        <v>1.3392930000000001</v>
      </c>
      <c r="BI61" s="234">
        <v>1.4478709999999999</v>
      </c>
      <c r="BJ61" s="234">
        <v>1.326419</v>
      </c>
      <c r="BK61" s="234">
        <v>1.3204020000000001</v>
      </c>
      <c r="BL61" s="234">
        <v>1.3423389999999999</v>
      </c>
      <c r="BM61" s="234">
        <v>1.3647480000000001</v>
      </c>
      <c r="BN61" s="234">
        <v>1.353518</v>
      </c>
      <c r="BO61" s="234">
        <v>3.355127</v>
      </c>
      <c r="BP61" s="234">
        <v>3.6757119999999999</v>
      </c>
      <c r="BQ61" s="234">
        <v>3.7298439999999999</v>
      </c>
      <c r="BR61" s="234">
        <v>3.3543959999999999</v>
      </c>
      <c r="BS61" s="234">
        <v>3.407</v>
      </c>
      <c r="BT61" s="234">
        <v>3.4580730000000002</v>
      </c>
      <c r="BU61" s="234">
        <v>3.6893729999999998</v>
      </c>
      <c r="BV61" s="234">
        <v>3.4332750000000001</v>
      </c>
      <c r="BW61" s="234">
        <v>3.431527</v>
      </c>
      <c r="BX61" s="234">
        <v>3.4753180000000001</v>
      </c>
      <c r="BY61" s="234">
        <v>3.5206460000000002</v>
      </c>
      <c r="BZ61" s="234">
        <v>3.4982449999999998</v>
      </c>
      <c r="CA61" s="234">
        <v>0.36217300000000002</v>
      </c>
      <c r="CB61" s="234">
        <v>0.363533</v>
      </c>
      <c r="CC61" s="234">
        <v>0.35974800000000001</v>
      </c>
      <c r="CD61" s="234">
        <v>0.40174500000000002</v>
      </c>
      <c r="CE61" s="234">
        <v>0.39300400000000002</v>
      </c>
      <c r="CF61" s="234">
        <v>0.36093199999999998</v>
      </c>
      <c r="CG61" s="234">
        <v>0.362259</v>
      </c>
      <c r="CH61" s="234">
        <v>0.36086800000000002</v>
      </c>
      <c r="CI61" s="234">
        <v>1.3193170000000001</v>
      </c>
      <c r="CJ61" s="234">
        <v>1.3669009999999999</v>
      </c>
      <c r="CK61" s="234">
        <v>1.38991</v>
      </c>
      <c r="CL61" s="234">
        <v>1.3194429999999999</v>
      </c>
      <c r="CM61" s="234">
        <v>1.3453329999999999</v>
      </c>
      <c r="CN61" s="234">
        <v>1.3717200000000001</v>
      </c>
      <c r="CO61" s="234">
        <v>1.4604839999999999</v>
      </c>
      <c r="CP61" s="234">
        <v>1.3583339999999999</v>
      </c>
      <c r="CQ61" s="234">
        <v>1.3529150000000001</v>
      </c>
      <c r="CR61" s="234">
        <v>1.3746670000000001</v>
      </c>
      <c r="CS61" s="234">
        <v>1.397311</v>
      </c>
      <c r="CT61" s="234">
        <v>1.3857740000000001</v>
      </c>
      <c r="CU61" s="234">
        <v>2.8004929999999999</v>
      </c>
      <c r="CV61" s="234">
        <v>2.8041830000000001</v>
      </c>
      <c r="CW61" s="234">
        <v>3.2620499999999999</v>
      </c>
      <c r="CX61" s="234">
        <v>2.7821009999999999</v>
      </c>
      <c r="CY61" s="234">
        <v>3.0104660000000001</v>
      </c>
      <c r="CZ61" s="234">
        <v>3.083081</v>
      </c>
      <c r="DA61" s="234">
        <v>3.3305410000000002</v>
      </c>
      <c r="DB61" s="234">
        <v>2.775055</v>
      </c>
      <c r="DC61" s="234">
        <v>0.89485599999999998</v>
      </c>
      <c r="DD61" s="234">
        <v>0.89493299999999998</v>
      </c>
      <c r="DE61" s="234">
        <v>0.89418600000000004</v>
      </c>
      <c r="DF61" s="234">
        <v>0.92408800000000002</v>
      </c>
      <c r="DG61" s="234">
        <v>0.919906</v>
      </c>
      <c r="DH61" s="234">
        <v>0.89427500000000004</v>
      </c>
      <c r="DI61" s="234">
        <v>0.89486500000000002</v>
      </c>
      <c r="DJ61" s="234">
        <v>0.89427699999999999</v>
      </c>
      <c r="DK61" s="236"/>
      <c r="DL61" s="234">
        <v>17.055199999999999</v>
      </c>
      <c r="DM61" s="234">
        <v>119.05226597310472</v>
      </c>
      <c r="DN61" s="234">
        <v>168.5200508226736</v>
      </c>
      <c r="DO61" s="234">
        <v>183.05189048574795</v>
      </c>
      <c r="DP61" s="234">
        <v>7.8295430000000001</v>
      </c>
      <c r="DQ61" s="234">
        <v>195.37180937153582</v>
      </c>
      <c r="DR61" s="234">
        <v>212.20355943704496</v>
      </c>
      <c r="DS61" s="234">
        <v>6.7989366463160943</v>
      </c>
      <c r="DT61" s="234">
        <v>7.7514492343220311</v>
      </c>
      <c r="DU61" s="237"/>
      <c r="DV61" s="238">
        <v>53020.98</v>
      </c>
      <c r="DW61" s="238">
        <v>4507.66</v>
      </c>
      <c r="DX61" s="238">
        <v>76879.042831999992</v>
      </c>
      <c r="DY61" s="238">
        <v>15501.07</v>
      </c>
      <c r="DZ61" s="238">
        <v>264373.84906400001</v>
      </c>
      <c r="EB61" s="239">
        <v>45169</v>
      </c>
      <c r="EC61" s="239">
        <v>45198</v>
      </c>
    </row>
    <row r="62" spans="1:133" x14ac:dyDescent="0.35">
      <c r="A62" s="233">
        <v>45198</v>
      </c>
      <c r="B62" s="234">
        <v>3.0773730000000001</v>
      </c>
      <c r="C62" s="234">
        <v>3.5623619999999998</v>
      </c>
      <c r="D62" s="234">
        <v>3.0773709999999999</v>
      </c>
      <c r="E62" s="234">
        <v>3.7491850000000002</v>
      </c>
      <c r="F62" s="234">
        <v>3.2692190000000001</v>
      </c>
      <c r="G62" s="234">
        <v>3.145381</v>
      </c>
      <c r="H62" s="234">
        <v>3.0887310000000001</v>
      </c>
      <c r="I62" s="234">
        <v>3.1570459999999998</v>
      </c>
      <c r="J62" s="234">
        <v>2.9327670000000001</v>
      </c>
      <c r="K62" s="234">
        <v>3.1044019999999999</v>
      </c>
      <c r="L62" s="234">
        <v>5.6873230000000001</v>
      </c>
      <c r="M62" s="234">
        <v>0</v>
      </c>
      <c r="N62" s="234">
        <v>6.6288299999999998</v>
      </c>
      <c r="O62" s="234">
        <v>6.9204780000000001</v>
      </c>
      <c r="P62" s="234">
        <v>5.6873180000000003</v>
      </c>
      <c r="Q62" s="234">
        <v>7.0926799999999997</v>
      </c>
      <c r="R62" s="234">
        <v>6.135624</v>
      </c>
      <c r="S62" s="234">
        <v>5.9306549999999998</v>
      </c>
      <c r="T62" s="234">
        <v>6.3135830000000004</v>
      </c>
      <c r="U62" s="234">
        <v>6.4236969999999998</v>
      </c>
      <c r="V62" s="234">
        <v>6.5636890000000001</v>
      </c>
      <c r="W62" s="234">
        <v>0.73211099999999996</v>
      </c>
      <c r="X62" s="234">
        <v>0.91879599999999995</v>
      </c>
      <c r="Y62" s="234">
        <v>0.95931599999999995</v>
      </c>
      <c r="Z62" s="234">
        <v>0.73211199999999999</v>
      </c>
      <c r="AA62" s="234">
        <v>0.80467500000000003</v>
      </c>
      <c r="AB62" s="234">
        <v>0.987012</v>
      </c>
      <c r="AC62" s="234">
        <v>0.81404200000000004</v>
      </c>
      <c r="AD62" s="234">
        <v>0.78703100000000004</v>
      </c>
      <c r="AE62" s="234">
        <v>0.78528200000000004</v>
      </c>
      <c r="AF62" s="234">
        <v>0.89883000000000002</v>
      </c>
      <c r="AG62" s="234">
        <v>0.82415099999999997</v>
      </c>
      <c r="AH62" s="234">
        <v>0.93854700000000002</v>
      </c>
      <c r="AI62" s="234">
        <v>1.028721</v>
      </c>
      <c r="AJ62" s="234">
        <v>0.93831699999999996</v>
      </c>
      <c r="AK62" s="234">
        <v>1.0965069999999999</v>
      </c>
      <c r="AL62" s="234">
        <v>0.98738499999999996</v>
      </c>
      <c r="AM62" s="234">
        <v>0.938365</v>
      </c>
      <c r="AN62" s="234">
        <v>0.95129300000000006</v>
      </c>
      <c r="AO62" s="234">
        <v>0.95132399999999995</v>
      </c>
      <c r="AP62" s="234">
        <v>1.516003</v>
      </c>
      <c r="AQ62" s="234">
        <v>1.528276</v>
      </c>
      <c r="AR62" s="234">
        <v>1.4071400000000001</v>
      </c>
      <c r="AS62" s="234">
        <v>1.5175209999999999</v>
      </c>
      <c r="AT62" s="234">
        <v>1.576789</v>
      </c>
      <c r="AU62" s="234">
        <v>1.4610069999999999</v>
      </c>
      <c r="AV62" s="234">
        <v>1.5934809999999999</v>
      </c>
      <c r="AW62" s="234">
        <v>1.517833</v>
      </c>
      <c r="AX62" s="234">
        <v>1.4428989999999999</v>
      </c>
      <c r="AY62" s="234">
        <v>1.6120699999999999</v>
      </c>
      <c r="AZ62" s="234">
        <v>1.472577</v>
      </c>
      <c r="BA62" s="234">
        <v>1.509188</v>
      </c>
      <c r="BB62" s="235"/>
      <c r="BC62" s="234">
        <v>1.276521</v>
      </c>
      <c r="BD62" s="234">
        <v>1.3378410000000001</v>
      </c>
      <c r="BE62" s="234">
        <v>1.3599000000000001</v>
      </c>
      <c r="BF62" s="234">
        <v>1.276662</v>
      </c>
      <c r="BG62" s="234">
        <v>1.302162</v>
      </c>
      <c r="BH62" s="234">
        <v>1.327375</v>
      </c>
      <c r="BI62" s="234">
        <v>1.436863</v>
      </c>
      <c r="BJ62" s="234">
        <v>1.314446</v>
      </c>
      <c r="BK62" s="234">
        <v>1.3084830000000001</v>
      </c>
      <c r="BL62" s="234">
        <v>1.3305130000000001</v>
      </c>
      <c r="BM62" s="234">
        <v>1.353019</v>
      </c>
      <c r="BN62" s="234">
        <v>1.3417429999999999</v>
      </c>
      <c r="BO62" s="234">
        <v>3.298451</v>
      </c>
      <c r="BP62" s="234">
        <v>3.6147130000000001</v>
      </c>
      <c r="BQ62" s="234">
        <v>3.6688719999999999</v>
      </c>
      <c r="BR62" s="234">
        <v>3.2977319999999999</v>
      </c>
      <c r="BS62" s="234">
        <v>3.3503090000000002</v>
      </c>
      <c r="BT62" s="234">
        <v>3.4013710000000001</v>
      </c>
      <c r="BU62" s="234">
        <v>3.6329310000000001</v>
      </c>
      <c r="BV62" s="234">
        <v>3.3765800000000001</v>
      </c>
      <c r="BW62" s="234">
        <v>3.37486</v>
      </c>
      <c r="BX62" s="234">
        <v>3.4186179999999999</v>
      </c>
      <c r="BY62" s="234">
        <v>3.4639790000000001</v>
      </c>
      <c r="BZ62" s="234">
        <v>3.4415450000000001</v>
      </c>
      <c r="CA62" s="234">
        <v>0.35248800000000002</v>
      </c>
      <c r="CB62" s="234">
        <v>0.35381400000000002</v>
      </c>
      <c r="CC62" s="234">
        <v>0.35001700000000002</v>
      </c>
      <c r="CD62" s="234">
        <v>0.391656</v>
      </c>
      <c r="CE62" s="234">
        <v>0.38295499999999999</v>
      </c>
      <c r="CF62" s="234">
        <v>0.35117100000000001</v>
      </c>
      <c r="CG62" s="234">
        <v>0.35257300000000003</v>
      </c>
      <c r="CH62" s="234">
        <v>0.351103</v>
      </c>
      <c r="CI62" s="234">
        <v>1.291782</v>
      </c>
      <c r="CJ62" s="234">
        <v>1.338773</v>
      </c>
      <c r="CK62" s="234">
        <v>1.361664</v>
      </c>
      <c r="CL62" s="234">
        <v>1.291906</v>
      </c>
      <c r="CM62" s="234">
        <v>1.3175939999999999</v>
      </c>
      <c r="CN62" s="234">
        <v>1.343782</v>
      </c>
      <c r="CO62" s="234">
        <v>1.43228</v>
      </c>
      <c r="CP62" s="234">
        <v>1.330498</v>
      </c>
      <c r="CQ62" s="234">
        <v>1.3251900000000001</v>
      </c>
      <c r="CR62" s="234">
        <v>1.3467880000000001</v>
      </c>
      <c r="CS62" s="234">
        <v>1.369262</v>
      </c>
      <c r="CT62" s="234">
        <v>1.3578110000000001</v>
      </c>
      <c r="CU62" s="234">
        <v>2.6823939999999999</v>
      </c>
      <c r="CV62" s="234">
        <v>2.6859299999999999</v>
      </c>
      <c r="CW62" s="234">
        <v>3.1328689999999999</v>
      </c>
      <c r="CX62" s="234">
        <v>2.6647349999999999</v>
      </c>
      <c r="CY62" s="234">
        <v>2.887051</v>
      </c>
      <c r="CZ62" s="234">
        <v>2.9581490000000001</v>
      </c>
      <c r="DA62" s="234">
        <v>3.1992060000000002</v>
      </c>
      <c r="DB62" s="234">
        <v>2.657969</v>
      </c>
      <c r="DC62" s="234">
        <v>0.85958100000000004</v>
      </c>
      <c r="DD62" s="234">
        <v>0.85966299999999995</v>
      </c>
      <c r="DE62" s="234">
        <v>0.85883399999999999</v>
      </c>
      <c r="DF62" s="234">
        <v>0.88915</v>
      </c>
      <c r="DG62" s="234">
        <v>0.88487000000000005</v>
      </c>
      <c r="DH62" s="234">
        <v>0.85892800000000002</v>
      </c>
      <c r="DI62" s="234">
        <v>0.85958999999999997</v>
      </c>
      <c r="DJ62" s="234">
        <v>0.85892800000000002</v>
      </c>
      <c r="DK62" s="236"/>
      <c r="DL62" s="234">
        <v>17.427900000000001</v>
      </c>
      <c r="DM62" s="234">
        <v>119.30736852302599</v>
      </c>
      <c r="DN62" s="234">
        <v>169.77304421166539</v>
      </c>
      <c r="DO62" s="234">
        <v>184.43505090935719</v>
      </c>
      <c r="DP62" s="234">
        <v>7.8703620000000001</v>
      </c>
      <c r="DQ62" s="234">
        <v>197.15810467860919</v>
      </c>
      <c r="DR62" s="234">
        <v>214.16938963349648</v>
      </c>
      <c r="DS62" s="234">
        <v>6.858772010287459</v>
      </c>
      <c r="DT62" s="234">
        <v>7.8206040039840703</v>
      </c>
      <c r="DU62" s="237"/>
      <c r="DV62" s="238">
        <v>50874.98</v>
      </c>
      <c r="DW62" s="238">
        <v>4288.05</v>
      </c>
      <c r="DX62" s="238">
        <v>74731.706595000011</v>
      </c>
      <c r="DY62" s="238">
        <v>14715.24</v>
      </c>
      <c r="DZ62" s="238">
        <v>256455.73119600001</v>
      </c>
      <c r="EB62" s="239">
        <v>45198</v>
      </c>
      <c r="EC62" s="239">
        <v>45230</v>
      </c>
    </row>
    <row r="63" spans="1:133" x14ac:dyDescent="0.35">
      <c r="A63" s="233">
        <v>45230</v>
      </c>
      <c r="B63" s="234">
        <v>3.0753870000000001</v>
      </c>
      <c r="C63" s="234">
        <v>3.560578</v>
      </c>
      <c r="D63" s="234">
        <v>3.075386</v>
      </c>
      <c r="E63" s="234">
        <v>3.7514189999999998</v>
      </c>
      <c r="F63" s="234">
        <v>3.2700979999999999</v>
      </c>
      <c r="G63" s="234">
        <v>3.1436419999999998</v>
      </c>
      <c r="H63" s="234">
        <v>3.0867399999999998</v>
      </c>
      <c r="I63" s="234">
        <v>3.1552639999999998</v>
      </c>
      <c r="J63" s="234">
        <v>2.957265</v>
      </c>
      <c r="K63" s="234">
        <v>3.1307719999999999</v>
      </c>
      <c r="L63" s="234">
        <v>5.7322980000000001</v>
      </c>
      <c r="M63" s="234">
        <v>0</v>
      </c>
      <c r="N63" s="234">
        <v>6.6821659999999996</v>
      </c>
      <c r="O63" s="234">
        <v>6.9844799999999996</v>
      </c>
      <c r="P63" s="234">
        <v>5.7322930000000003</v>
      </c>
      <c r="Q63" s="234">
        <v>7.1593669999999996</v>
      </c>
      <c r="R63" s="234">
        <v>6.1915820000000004</v>
      </c>
      <c r="S63" s="234">
        <v>5.9783739999999996</v>
      </c>
      <c r="T63" s="234">
        <v>6.36815</v>
      </c>
      <c r="U63" s="234">
        <v>6.4823180000000002</v>
      </c>
      <c r="V63" s="234">
        <v>6.6212739999999997</v>
      </c>
      <c r="W63" s="234">
        <v>0.73764799999999997</v>
      </c>
      <c r="X63" s="234">
        <v>0.92651399999999995</v>
      </c>
      <c r="Y63" s="234">
        <v>0.96758699999999997</v>
      </c>
      <c r="Z63" s="234">
        <v>0.73764799999999997</v>
      </c>
      <c r="AA63" s="234">
        <v>0.81115499999999996</v>
      </c>
      <c r="AB63" s="234">
        <v>0.99639500000000003</v>
      </c>
      <c r="AC63" s="234">
        <v>0.821577</v>
      </c>
      <c r="AD63" s="234">
        <v>0.79359199999999996</v>
      </c>
      <c r="AE63" s="234">
        <v>0.79141499999999998</v>
      </c>
      <c r="AF63" s="234">
        <v>0.90649299999999999</v>
      </c>
      <c r="AG63" s="234">
        <v>0.83092600000000005</v>
      </c>
      <c r="AH63" s="234">
        <v>0.973804</v>
      </c>
      <c r="AI63" s="234">
        <v>1.067367</v>
      </c>
      <c r="AJ63" s="234">
        <v>0.97356500000000001</v>
      </c>
      <c r="AK63" s="234">
        <v>1.138801</v>
      </c>
      <c r="AL63" s="234">
        <v>1.025307</v>
      </c>
      <c r="AM63" s="234">
        <v>0.97361500000000001</v>
      </c>
      <c r="AN63" s="234">
        <v>0.98702800000000002</v>
      </c>
      <c r="AO63" s="234">
        <v>0.98706099999999997</v>
      </c>
      <c r="AP63" s="234">
        <v>1.5282610000000001</v>
      </c>
      <c r="AQ63" s="234">
        <v>1.5419069999999999</v>
      </c>
      <c r="AR63" s="234">
        <v>1.418504</v>
      </c>
      <c r="AS63" s="234">
        <v>1.530535</v>
      </c>
      <c r="AT63" s="234">
        <v>1.5906819999999999</v>
      </c>
      <c r="AU63" s="234">
        <v>1.473193</v>
      </c>
      <c r="AV63" s="234">
        <v>1.608697</v>
      </c>
      <c r="AW63" s="234">
        <v>1.53193</v>
      </c>
      <c r="AX63" s="234">
        <v>1.4546410000000001</v>
      </c>
      <c r="AY63" s="234">
        <v>1.6263620000000001</v>
      </c>
      <c r="AZ63" s="234">
        <v>1.485541</v>
      </c>
      <c r="BA63" s="234">
        <v>1.5225610000000001</v>
      </c>
      <c r="BB63" s="235"/>
      <c r="BC63" s="234">
        <v>1.281987</v>
      </c>
      <c r="BD63" s="234">
        <v>1.3440099999999999</v>
      </c>
      <c r="BE63" s="234">
        <v>1.3665039999999999</v>
      </c>
      <c r="BF63" s="234">
        <v>1.2821290000000001</v>
      </c>
      <c r="BG63" s="234">
        <v>1.308065</v>
      </c>
      <c r="BH63" s="234">
        <v>1.333712</v>
      </c>
      <c r="BI63" s="234">
        <v>1.445549</v>
      </c>
      <c r="BJ63" s="234">
        <v>1.320557</v>
      </c>
      <c r="BK63" s="234">
        <v>1.314565</v>
      </c>
      <c r="BL63" s="234">
        <v>1.3369800000000001</v>
      </c>
      <c r="BM63" s="234">
        <v>1.359882</v>
      </c>
      <c r="BN63" s="234">
        <v>1.348411</v>
      </c>
      <c r="BO63" s="234">
        <v>3.3403679999999998</v>
      </c>
      <c r="BP63" s="234">
        <v>3.6617130000000002</v>
      </c>
      <c r="BQ63" s="234">
        <v>3.717489</v>
      </c>
      <c r="BR63" s="234">
        <v>3.3396409999999999</v>
      </c>
      <c r="BS63" s="234">
        <v>3.393729</v>
      </c>
      <c r="BT63" s="234">
        <v>3.4462769999999998</v>
      </c>
      <c r="BU63" s="234">
        <v>3.6848719999999999</v>
      </c>
      <c r="BV63" s="234">
        <v>3.420766</v>
      </c>
      <c r="BW63" s="234">
        <v>3.4190239999999998</v>
      </c>
      <c r="BX63" s="234">
        <v>3.4640200000000001</v>
      </c>
      <c r="BY63" s="234">
        <v>3.5107520000000001</v>
      </c>
      <c r="BZ63" s="234">
        <v>3.4876100000000001</v>
      </c>
      <c r="CA63" s="234">
        <v>0.356076</v>
      </c>
      <c r="CB63" s="234">
        <v>0.35741600000000001</v>
      </c>
      <c r="CC63" s="234">
        <v>0.35358000000000001</v>
      </c>
      <c r="CD63" s="234">
        <v>0.39628200000000002</v>
      </c>
      <c r="CE63" s="234">
        <v>0.38742100000000002</v>
      </c>
      <c r="CF63" s="234">
        <v>0.35474699999999998</v>
      </c>
      <c r="CG63" s="234">
        <v>0.35616100000000001</v>
      </c>
      <c r="CH63" s="234">
        <v>0.35467399999999999</v>
      </c>
      <c r="CI63" s="234">
        <v>1.2982819999999999</v>
      </c>
      <c r="CJ63" s="234">
        <v>1.345898</v>
      </c>
      <c r="CK63" s="234">
        <v>1.3692530000000001</v>
      </c>
      <c r="CL63" s="234">
        <v>1.2984059999999999</v>
      </c>
      <c r="CM63" s="234">
        <v>1.3245530000000001</v>
      </c>
      <c r="CN63" s="234">
        <v>1.3512150000000001</v>
      </c>
      <c r="CO63" s="234">
        <v>1.4417040000000001</v>
      </c>
      <c r="CP63" s="234">
        <v>1.337691</v>
      </c>
      <c r="CQ63" s="234">
        <v>1.332354</v>
      </c>
      <c r="CR63" s="234">
        <v>1.354355</v>
      </c>
      <c r="CS63" s="234">
        <v>1.37724</v>
      </c>
      <c r="CT63" s="234">
        <v>1.3655759999999999</v>
      </c>
      <c r="CU63" s="234">
        <v>2.5891929999999999</v>
      </c>
      <c r="CV63" s="234">
        <v>2.5926239999999998</v>
      </c>
      <c r="CW63" s="234">
        <v>3.0303909999999998</v>
      </c>
      <c r="CX63" s="234">
        <v>2.5708679999999999</v>
      </c>
      <c r="CY63" s="234">
        <v>2.7900649999999998</v>
      </c>
      <c r="CZ63" s="234">
        <v>2.8587340000000001</v>
      </c>
      <c r="DA63" s="234">
        <v>3.0965980000000002</v>
      </c>
      <c r="DB63" s="234">
        <v>2.5643159999999998</v>
      </c>
      <c r="DC63" s="234">
        <v>0.86473900000000004</v>
      </c>
      <c r="DD63" s="234">
        <v>0.86482599999999998</v>
      </c>
      <c r="DE63" s="234">
        <v>0.86398699999999995</v>
      </c>
      <c r="DF63" s="234">
        <v>0.89593800000000001</v>
      </c>
      <c r="DG63" s="234">
        <v>0.89147900000000002</v>
      </c>
      <c r="DH63" s="234">
        <v>0.86409199999999997</v>
      </c>
      <c r="DI63" s="234">
        <v>0.86474700000000004</v>
      </c>
      <c r="DJ63" s="234">
        <v>0.86408399999999996</v>
      </c>
      <c r="DK63" s="236"/>
      <c r="DL63" s="234">
        <v>18.025500000000001</v>
      </c>
      <c r="DM63" s="234">
        <v>119.59052467765397</v>
      </c>
      <c r="DN63" s="234">
        <v>171.1599013461589</v>
      </c>
      <c r="DO63" s="234">
        <v>185.96627168757354</v>
      </c>
      <c r="DP63" s="234">
        <v>7.902355</v>
      </c>
      <c r="DQ63" s="234">
        <v>199.14721089025559</v>
      </c>
      <c r="DR63" s="234">
        <v>216.35867672752775</v>
      </c>
      <c r="DS63" s="234">
        <v>6.925408790796296</v>
      </c>
      <c r="DT63" s="234">
        <v>7.8976282638633082</v>
      </c>
      <c r="DU63" s="237"/>
      <c r="DV63" s="238">
        <v>49061.88</v>
      </c>
      <c r="DW63" s="238">
        <v>4193.8</v>
      </c>
      <c r="DX63" s="238">
        <v>75595.341900000014</v>
      </c>
      <c r="DY63" s="238">
        <v>14409.78</v>
      </c>
      <c r="DZ63" s="238">
        <v>259743.48939000003</v>
      </c>
      <c r="EB63" s="239">
        <v>45230</v>
      </c>
      <c r="EC63" s="239">
        <v>45260</v>
      </c>
    </row>
    <row r="64" spans="1:133" x14ac:dyDescent="0.35">
      <c r="A64" s="233">
        <v>45260</v>
      </c>
      <c r="B64" s="234">
        <v>3.174553</v>
      </c>
      <c r="C64" s="234">
        <v>3.6759369999999998</v>
      </c>
      <c r="D64" s="234">
        <v>3.1745519999999998</v>
      </c>
      <c r="E64" s="234">
        <v>3.8772090000000001</v>
      </c>
      <c r="F64" s="234">
        <v>3.3786320000000001</v>
      </c>
      <c r="G64" s="234">
        <v>3.245285</v>
      </c>
      <c r="H64" s="234">
        <v>3.1862740000000001</v>
      </c>
      <c r="I64" s="234">
        <v>3.2572760000000001</v>
      </c>
      <c r="J64" s="234">
        <v>2.9821270000000002</v>
      </c>
      <c r="K64" s="234">
        <v>3.1575329999999999</v>
      </c>
      <c r="L64" s="234">
        <v>5.778899</v>
      </c>
      <c r="M64" s="234">
        <v>0</v>
      </c>
      <c r="N64" s="234">
        <v>6.7374080000000003</v>
      </c>
      <c r="O64" s="234">
        <v>7.0506200000000003</v>
      </c>
      <c r="P64" s="234">
        <v>5.7788940000000002</v>
      </c>
      <c r="Q64" s="234">
        <v>7.2280899999999999</v>
      </c>
      <c r="R64" s="234">
        <v>6.2494240000000003</v>
      </c>
      <c r="S64" s="234">
        <v>6.0277969999999996</v>
      </c>
      <c r="T64" s="234">
        <v>6.4245999999999999</v>
      </c>
      <c r="U64" s="234">
        <v>6.5429139999999997</v>
      </c>
      <c r="V64" s="234">
        <v>6.680809</v>
      </c>
      <c r="W64" s="234">
        <v>0.74324900000000005</v>
      </c>
      <c r="X64" s="234">
        <v>0.93432599999999999</v>
      </c>
      <c r="Y64" s="234">
        <v>0.97595900000000002</v>
      </c>
      <c r="Z64" s="234">
        <v>0.74324999999999997</v>
      </c>
      <c r="AA64" s="234">
        <v>0.81771300000000002</v>
      </c>
      <c r="AB64" s="234">
        <v>1.005898</v>
      </c>
      <c r="AC64" s="234">
        <v>0.82920899999999997</v>
      </c>
      <c r="AD64" s="234">
        <v>0.80022800000000005</v>
      </c>
      <c r="AE64" s="234">
        <v>0.79762200000000005</v>
      </c>
      <c r="AF64" s="234">
        <v>0.91425100000000004</v>
      </c>
      <c r="AG64" s="234">
        <v>0.83777999999999997</v>
      </c>
      <c r="AH64" s="234">
        <v>0.94228500000000004</v>
      </c>
      <c r="AI64" s="234">
        <v>1.032821</v>
      </c>
      <c r="AJ64" s="234">
        <v>0.94205399999999995</v>
      </c>
      <c r="AK64" s="234">
        <v>1.10301</v>
      </c>
      <c r="AL64" s="234">
        <v>0.99292499999999995</v>
      </c>
      <c r="AM64" s="234">
        <v>0.94210199999999999</v>
      </c>
      <c r="AN64" s="234">
        <v>0.95508099999999996</v>
      </c>
      <c r="AO64" s="234">
        <v>0.95512300000000006</v>
      </c>
      <c r="AP64" s="234">
        <v>1.5408310000000001</v>
      </c>
      <c r="AQ64" s="234">
        <v>1.5558799999999999</v>
      </c>
      <c r="AR64" s="234">
        <v>1.430159</v>
      </c>
      <c r="AS64" s="234">
        <v>1.5438750000000001</v>
      </c>
      <c r="AT64" s="234">
        <v>1.6049199999999999</v>
      </c>
      <c r="AU64" s="234">
        <v>1.4856860000000001</v>
      </c>
      <c r="AV64" s="234">
        <v>1.6242840000000001</v>
      </c>
      <c r="AW64" s="234">
        <v>1.546373</v>
      </c>
      <c r="AX64" s="234">
        <v>1.466677</v>
      </c>
      <c r="AY64" s="234">
        <v>1.641003</v>
      </c>
      <c r="AZ64" s="234">
        <v>1.498826</v>
      </c>
      <c r="BA64" s="234">
        <v>1.5362629999999999</v>
      </c>
      <c r="BB64" s="235"/>
      <c r="BC64" s="234">
        <v>1.3229150000000001</v>
      </c>
      <c r="BD64" s="234">
        <v>1.3873690000000001</v>
      </c>
      <c r="BE64" s="234">
        <v>1.4109290000000001</v>
      </c>
      <c r="BF64" s="234">
        <v>1.323061</v>
      </c>
      <c r="BG64" s="234">
        <v>1.3501609999999999</v>
      </c>
      <c r="BH64" s="234">
        <v>1.3769640000000001</v>
      </c>
      <c r="BI64" s="234">
        <v>1.494316</v>
      </c>
      <c r="BJ64" s="234">
        <v>1.363213</v>
      </c>
      <c r="BK64" s="234">
        <v>1.357027</v>
      </c>
      <c r="BL64" s="234">
        <v>1.3804590000000001</v>
      </c>
      <c r="BM64" s="234">
        <v>1.4044000000000001</v>
      </c>
      <c r="BN64" s="234">
        <v>1.392409</v>
      </c>
      <c r="BO64" s="234">
        <v>3.458399</v>
      </c>
      <c r="BP64" s="234">
        <v>3.792192</v>
      </c>
      <c r="BQ64" s="234">
        <v>3.850895</v>
      </c>
      <c r="BR64" s="234">
        <v>3.4576470000000001</v>
      </c>
      <c r="BS64" s="234">
        <v>3.5145189999999999</v>
      </c>
      <c r="BT64" s="234">
        <v>3.5697899999999998</v>
      </c>
      <c r="BU64" s="234">
        <v>3.8210609999999998</v>
      </c>
      <c r="BV64" s="234">
        <v>3.5429590000000002</v>
      </c>
      <c r="BW64" s="234">
        <v>3.5411540000000001</v>
      </c>
      <c r="BX64" s="234">
        <v>3.588457</v>
      </c>
      <c r="BY64" s="234">
        <v>3.6376539999999999</v>
      </c>
      <c r="BZ64" s="234">
        <v>3.6132610000000001</v>
      </c>
      <c r="CA64" s="234">
        <v>0.37334099999999998</v>
      </c>
      <c r="CB64" s="234">
        <v>0.37474800000000003</v>
      </c>
      <c r="CC64" s="234">
        <v>0.370724</v>
      </c>
      <c r="CD64" s="234">
        <v>0.41616900000000001</v>
      </c>
      <c r="CE64" s="234">
        <v>0.406804</v>
      </c>
      <c r="CF64" s="234">
        <v>0.37195</v>
      </c>
      <c r="CG64" s="234">
        <v>0.37343100000000001</v>
      </c>
      <c r="CH64" s="234">
        <v>0.37186399999999997</v>
      </c>
      <c r="CI64" s="234">
        <v>1.3579030000000001</v>
      </c>
      <c r="CJ64" s="234">
        <v>1.4081090000000001</v>
      </c>
      <c r="CK64" s="234">
        <v>1.432906</v>
      </c>
      <c r="CL64" s="234">
        <v>1.3580319999999999</v>
      </c>
      <c r="CM64" s="234">
        <v>1.385724</v>
      </c>
      <c r="CN64" s="234">
        <v>1.4139699999999999</v>
      </c>
      <c r="CO64" s="234">
        <v>1.5102329999999999</v>
      </c>
      <c r="CP64" s="234">
        <v>1.3996440000000001</v>
      </c>
      <c r="CQ64" s="234">
        <v>1.3940589999999999</v>
      </c>
      <c r="CR64" s="234">
        <v>1.4173770000000001</v>
      </c>
      <c r="CS64" s="234">
        <v>1.4416279999999999</v>
      </c>
      <c r="CT64" s="234">
        <v>1.42927</v>
      </c>
      <c r="CU64" s="234">
        <v>2.8520750000000001</v>
      </c>
      <c r="CV64" s="234">
        <v>2.8558620000000001</v>
      </c>
      <c r="CW64" s="234">
        <v>3.3453590000000002</v>
      </c>
      <c r="CX64" s="234">
        <v>2.830676</v>
      </c>
      <c r="CY64" s="234">
        <v>3.0770029999999999</v>
      </c>
      <c r="CZ64" s="234">
        <v>3.1529289999999999</v>
      </c>
      <c r="DA64" s="234">
        <v>3.4204289999999999</v>
      </c>
      <c r="DB64" s="234">
        <v>2.8234469999999998</v>
      </c>
      <c r="DC64" s="234">
        <v>0.92771400000000004</v>
      </c>
      <c r="DD64" s="234">
        <v>0.92781599999999997</v>
      </c>
      <c r="DE64" s="234">
        <v>0.92690499999999998</v>
      </c>
      <c r="DF64" s="234">
        <v>0.96274599999999999</v>
      </c>
      <c r="DG64" s="234">
        <v>0.95779599999999998</v>
      </c>
      <c r="DH64" s="234">
        <v>0.92702799999999996</v>
      </c>
      <c r="DI64" s="234">
        <v>0.92772299999999996</v>
      </c>
      <c r="DJ64" s="234">
        <v>0.92701500000000003</v>
      </c>
      <c r="DK64" s="236"/>
      <c r="DL64" s="234">
        <v>17.3873</v>
      </c>
      <c r="DM64" s="234">
        <v>119.85462041965046</v>
      </c>
      <c r="DN64" s="234">
        <v>172.50065390670383</v>
      </c>
      <c r="DO64" s="234">
        <v>187.44625326642046</v>
      </c>
      <c r="DP64" s="234">
        <v>7.9413859999999996</v>
      </c>
      <c r="DQ64" s="234">
        <v>201.03247115335003</v>
      </c>
      <c r="DR64" s="234">
        <v>218.43391703513927</v>
      </c>
      <c r="DS64" s="234">
        <v>6.9870882128393248</v>
      </c>
      <c r="DT64" s="234">
        <v>7.9689537191213242</v>
      </c>
      <c r="DU64" s="237"/>
      <c r="DV64" s="238">
        <v>54060.01</v>
      </c>
      <c r="DW64" s="238">
        <v>4567.8</v>
      </c>
      <c r="DX64" s="238">
        <v>79421.708939999997</v>
      </c>
      <c r="DY64" s="238">
        <v>15947.87</v>
      </c>
      <c r="DZ64" s="238">
        <v>277290.400051</v>
      </c>
      <c r="EB64" s="239">
        <v>45260</v>
      </c>
      <c r="EC64" s="239">
        <v>45289</v>
      </c>
    </row>
    <row r="65" spans="1:133" x14ac:dyDescent="0.35">
      <c r="A65" s="233">
        <v>45289</v>
      </c>
      <c r="B65" s="234">
        <v>3.2364820000000001</v>
      </c>
      <c r="C65" s="234">
        <v>3.748278</v>
      </c>
      <c r="D65" s="234">
        <v>3.2364799999999998</v>
      </c>
      <c r="E65" s="234">
        <v>3.9581369999999998</v>
      </c>
      <c r="F65" s="234">
        <v>3.4479060000000001</v>
      </c>
      <c r="G65" s="234">
        <v>3.3089219999999999</v>
      </c>
      <c r="H65" s="234">
        <v>3.2484329999999999</v>
      </c>
      <c r="I65" s="234">
        <v>3.3211560000000002</v>
      </c>
      <c r="J65" s="234">
        <v>3.0083150000000001</v>
      </c>
      <c r="K65" s="234">
        <v>3.1857690000000001</v>
      </c>
      <c r="L65" s="234">
        <v>5.8275499999999996</v>
      </c>
      <c r="M65" s="234">
        <v>0</v>
      </c>
      <c r="N65" s="234">
        <v>6.7951759999999997</v>
      </c>
      <c r="O65" s="234">
        <v>7.1201179999999997</v>
      </c>
      <c r="P65" s="234">
        <v>5.8275459999999999</v>
      </c>
      <c r="Q65" s="234">
        <v>7.3005449999999996</v>
      </c>
      <c r="R65" s="234">
        <v>6.3101269999999996</v>
      </c>
      <c r="S65" s="234">
        <v>6.0794810000000004</v>
      </c>
      <c r="T65" s="234">
        <v>6.4837319999999998</v>
      </c>
      <c r="U65" s="234">
        <v>6.6065100000000001</v>
      </c>
      <c r="V65" s="234">
        <v>6.7432590000000001</v>
      </c>
      <c r="W65" s="234">
        <v>0.749332</v>
      </c>
      <c r="X65" s="234">
        <v>0.94281499999999996</v>
      </c>
      <c r="Y65" s="234">
        <v>0.98505600000000004</v>
      </c>
      <c r="Z65" s="234">
        <v>0.74933300000000003</v>
      </c>
      <c r="AA65" s="234">
        <v>0.82483499999999998</v>
      </c>
      <c r="AB65" s="234">
        <v>1.0162249999999999</v>
      </c>
      <c r="AC65" s="234">
        <v>0.83749499999999999</v>
      </c>
      <c r="AD65" s="234">
        <v>0.80743200000000004</v>
      </c>
      <c r="AE65" s="234">
        <v>0.80436099999999999</v>
      </c>
      <c r="AF65" s="234">
        <v>0.92267500000000002</v>
      </c>
      <c r="AG65" s="234">
        <v>0.845221</v>
      </c>
      <c r="AH65" s="234">
        <v>0.92257299999999998</v>
      </c>
      <c r="AI65" s="234">
        <v>1.0112209999999999</v>
      </c>
      <c r="AJ65" s="234">
        <v>0.92234700000000003</v>
      </c>
      <c r="AK65" s="234">
        <v>1.081054</v>
      </c>
      <c r="AL65" s="234">
        <v>0.97299599999999997</v>
      </c>
      <c r="AM65" s="234">
        <v>0.92239400000000005</v>
      </c>
      <c r="AN65" s="234">
        <v>0.93510199999999999</v>
      </c>
      <c r="AO65" s="234">
        <v>0.93515199999999998</v>
      </c>
      <c r="AP65" s="234">
        <v>1.554176</v>
      </c>
      <c r="AQ65" s="234">
        <v>1.570759</v>
      </c>
      <c r="AR65" s="234">
        <v>1.442531</v>
      </c>
      <c r="AS65" s="234">
        <v>1.558055</v>
      </c>
      <c r="AT65" s="234">
        <v>1.6200650000000001</v>
      </c>
      <c r="AU65" s="234">
        <v>1.498958</v>
      </c>
      <c r="AV65" s="234">
        <v>1.640909</v>
      </c>
      <c r="AW65" s="234">
        <v>1.5617509999999999</v>
      </c>
      <c r="AX65" s="234">
        <v>1.4794609999999999</v>
      </c>
      <c r="AY65" s="234">
        <v>1.6565829999999999</v>
      </c>
      <c r="AZ65" s="234">
        <v>1.512956</v>
      </c>
      <c r="BA65" s="234">
        <v>1.5508409999999999</v>
      </c>
      <c r="BB65" s="235"/>
      <c r="BC65" s="234">
        <v>1.346452</v>
      </c>
      <c r="BD65" s="234">
        <v>1.412541</v>
      </c>
      <c r="BE65" s="234">
        <v>1.4368840000000001</v>
      </c>
      <c r="BF65" s="234">
        <v>1.3466</v>
      </c>
      <c r="BG65" s="234">
        <v>1.374549</v>
      </c>
      <c r="BH65" s="234">
        <v>1.4021939999999999</v>
      </c>
      <c r="BI65" s="234">
        <v>1.5237510000000001</v>
      </c>
      <c r="BJ65" s="234">
        <v>1.3880060000000001</v>
      </c>
      <c r="BK65" s="234">
        <v>1.3817079999999999</v>
      </c>
      <c r="BL65" s="234">
        <v>1.4058820000000001</v>
      </c>
      <c r="BM65" s="234">
        <v>1.4305859999999999</v>
      </c>
      <c r="BN65" s="234">
        <v>1.4182090000000001</v>
      </c>
      <c r="BO65" s="234">
        <v>3.4946619999999999</v>
      </c>
      <c r="BP65" s="234">
        <v>3.8331189999999999</v>
      </c>
      <c r="BQ65" s="234">
        <v>3.8934289999999998</v>
      </c>
      <c r="BR65" s="234">
        <v>3.4939010000000001</v>
      </c>
      <c r="BS65" s="234">
        <v>3.5523120000000001</v>
      </c>
      <c r="BT65" s="234">
        <v>3.6090970000000002</v>
      </c>
      <c r="BU65" s="234">
        <v>3.8675860000000002</v>
      </c>
      <c r="BV65" s="234">
        <v>3.5815320000000002</v>
      </c>
      <c r="BW65" s="234">
        <v>3.579707</v>
      </c>
      <c r="BX65" s="234">
        <v>3.628314</v>
      </c>
      <c r="BY65" s="234">
        <v>3.6788699999999999</v>
      </c>
      <c r="BZ65" s="234">
        <v>3.6537649999999999</v>
      </c>
      <c r="CA65" s="234">
        <v>0.37986500000000001</v>
      </c>
      <c r="CB65" s="234">
        <v>0.381299</v>
      </c>
      <c r="CC65" s="234">
        <v>0.37707000000000002</v>
      </c>
      <c r="CD65" s="234">
        <v>0.42417199999999999</v>
      </c>
      <c r="CE65" s="234">
        <v>0.41441600000000001</v>
      </c>
      <c r="CF65" s="234">
        <v>0.37831799999999999</v>
      </c>
      <c r="CG65" s="234">
        <v>0.37995699999999999</v>
      </c>
      <c r="CH65" s="234">
        <v>0.37823000000000001</v>
      </c>
      <c r="CI65" s="234">
        <v>1.387902</v>
      </c>
      <c r="CJ65" s="234">
        <v>1.4396530000000001</v>
      </c>
      <c r="CK65" s="234">
        <v>1.465398</v>
      </c>
      <c r="CL65" s="234">
        <v>1.388034</v>
      </c>
      <c r="CM65" s="234">
        <v>1.416714</v>
      </c>
      <c r="CN65" s="234">
        <v>1.445975</v>
      </c>
      <c r="CO65" s="234">
        <v>1.546133</v>
      </c>
      <c r="CP65" s="234">
        <v>1.4311339999999999</v>
      </c>
      <c r="CQ65" s="234">
        <v>1.425424</v>
      </c>
      <c r="CR65" s="234">
        <v>1.4495910000000001</v>
      </c>
      <c r="CS65" s="234">
        <v>1.4747220000000001</v>
      </c>
      <c r="CT65" s="234">
        <v>1.4619180000000001</v>
      </c>
      <c r="CU65" s="234">
        <v>3.0141789999999999</v>
      </c>
      <c r="CV65" s="234">
        <v>3.0182030000000002</v>
      </c>
      <c r="CW65" s="234">
        <v>3.5442659999999999</v>
      </c>
      <c r="CX65" s="234">
        <v>2.9906489999999999</v>
      </c>
      <c r="CY65" s="234">
        <v>3.2560349999999998</v>
      </c>
      <c r="CZ65" s="234">
        <v>3.3370229999999999</v>
      </c>
      <c r="DA65" s="234">
        <v>3.6255030000000001</v>
      </c>
      <c r="DB65" s="234">
        <v>2.98299</v>
      </c>
      <c r="DC65" s="234">
        <v>0.945268</v>
      </c>
      <c r="DD65" s="234">
        <v>0.94538800000000001</v>
      </c>
      <c r="DE65" s="234">
        <v>0.94430199999999997</v>
      </c>
      <c r="DF65" s="234">
        <v>0.98266299999999995</v>
      </c>
      <c r="DG65" s="234">
        <v>0.97729299999999997</v>
      </c>
      <c r="DH65" s="234">
        <v>0.94443999999999995</v>
      </c>
      <c r="DI65" s="234">
        <v>0.94527499999999998</v>
      </c>
      <c r="DJ65" s="234">
        <v>0.94443100000000002</v>
      </c>
      <c r="DK65" s="236"/>
      <c r="DL65" s="234">
        <v>16.9666</v>
      </c>
      <c r="DM65" s="234">
        <v>120.11626971461658</v>
      </c>
      <c r="DN65" s="234">
        <v>173.77490665374302</v>
      </c>
      <c r="DO65" s="234">
        <v>188.85355808122176</v>
      </c>
      <c r="DP65" s="234">
        <v>7.9764379999999999</v>
      </c>
      <c r="DQ65" s="234">
        <v>202.87052220557575</v>
      </c>
      <c r="DR65" s="234">
        <v>220.4574645721176</v>
      </c>
      <c r="DS65" s="234">
        <v>7.049353358319367</v>
      </c>
      <c r="DT65" s="234">
        <v>8.0409316333905974</v>
      </c>
      <c r="DU65" s="237"/>
      <c r="DV65" s="238">
        <v>57386.25</v>
      </c>
      <c r="DW65" s="238">
        <v>4769.83</v>
      </c>
      <c r="DX65" s="238">
        <v>80927.797678000003</v>
      </c>
      <c r="DY65" s="238">
        <v>16825.93</v>
      </c>
      <c r="DZ65" s="238">
        <v>285478.82393800002</v>
      </c>
      <c r="EB65" s="239">
        <v>45289</v>
      </c>
      <c r="EC65" s="239">
        <v>45322</v>
      </c>
    </row>
    <row r="66" spans="1:133" x14ac:dyDescent="0.35">
      <c r="A66" s="233">
        <v>45322</v>
      </c>
      <c r="B66" s="234">
        <v>3.2494200000000002</v>
      </c>
      <c r="C66" s="234">
        <v>3.7651080000000001</v>
      </c>
      <c r="D66" s="234">
        <v>3.2494179999999999</v>
      </c>
      <c r="E66" s="234">
        <v>3.9802590000000002</v>
      </c>
      <c r="F66" s="234">
        <v>3.4649230000000002</v>
      </c>
      <c r="G66" s="234">
        <v>3.3231220000000001</v>
      </c>
      <c r="H66" s="234">
        <v>3.261425</v>
      </c>
      <c r="I66" s="234">
        <v>3.3354349999999999</v>
      </c>
      <c r="J66" s="234">
        <v>3.0312000000000001</v>
      </c>
      <c r="K66" s="234">
        <v>3.21149</v>
      </c>
      <c r="L66" s="234">
        <v>5.8717550000000003</v>
      </c>
      <c r="M66" s="234">
        <v>5.8699199999999996</v>
      </c>
      <c r="N66" s="234">
        <v>6.8497919999999999</v>
      </c>
      <c r="O66" s="234">
        <v>7.1858820000000003</v>
      </c>
      <c r="P66" s="234">
        <v>5.8717509999999997</v>
      </c>
      <c r="Q66" s="234">
        <v>7.3690959999999999</v>
      </c>
      <c r="R66" s="234">
        <v>6.365774</v>
      </c>
      <c r="S66" s="234">
        <v>6.1283440000000002</v>
      </c>
      <c r="T66" s="234">
        <v>6.5378730000000003</v>
      </c>
      <c r="U66" s="234">
        <v>6.6648940000000003</v>
      </c>
      <c r="V66" s="234">
        <v>6.8023559999999996</v>
      </c>
      <c r="W66" s="234">
        <v>0.75471500000000002</v>
      </c>
      <c r="X66" s="234">
        <v>0.950623</v>
      </c>
      <c r="Y66" s="234">
        <v>0.99343099999999995</v>
      </c>
      <c r="Z66" s="234">
        <v>0.75471500000000002</v>
      </c>
      <c r="AA66" s="234">
        <v>0.83118400000000003</v>
      </c>
      <c r="AB66" s="234">
        <v>1.0257620000000001</v>
      </c>
      <c r="AC66" s="234">
        <v>0.84494999999999998</v>
      </c>
      <c r="AD66" s="234">
        <v>0.81394500000000003</v>
      </c>
      <c r="AE66" s="234">
        <v>0.81035299999999999</v>
      </c>
      <c r="AF66" s="234">
        <v>0.93023500000000003</v>
      </c>
      <c r="AG66" s="234">
        <v>0.85195200000000004</v>
      </c>
      <c r="AH66" s="234">
        <v>0.93459199999999998</v>
      </c>
      <c r="AI66" s="234">
        <v>1.0244150000000001</v>
      </c>
      <c r="AJ66" s="234">
        <v>0.93436200000000003</v>
      </c>
      <c r="AK66" s="234">
        <v>1.0962130000000001</v>
      </c>
      <c r="AL66" s="234">
        <v>0.98646900000000004</v>
      </c>
      <c r="AM66" s="234">
        <v>0.93441300000000005</v>
      </c>
      <c r="AN66" s="234">
        <v>0.94728400000000001</v>
      </c>
      <c r="AO66" s="234">
        <v>0.94735000000000003</v>
      </c>
      <c r="AP66" s="234">
        <v>1.5662700000000001</v>
      </c>
      <c r="AQ66" s="234">
        <v>1.584721</v>
      </c>
      <c r="AR66" s="234">
        <v>1.453713</v>
      </c>
      <c r="AS66" s="234">
        <v>1.5709420000000001</v>
      </c>
      <c r="AT66" s="234">
        <v>1.633861</v>
      </c>
      <c r="AU66" s="234">
        <v>1.5109889999999999</v>
      </c>
      <c r="AV66" s="234">
        <v>1.6565240000000001</v>
      </c>
      <c r="AW66" s="234">
        <v>1.575779</v>
      </c>
      <c r="AX66" s="234">
        <v>1.4912380000000001</v>
      </c>
      <c r="AY66" s="234">
        <v>1.670998</v>
      </c>
      <c r="AZ66" s="234">
        <v>1.5258</v>
      </c>
      <c r="BA66" s="234">
        <v>1.564317</v>
      </c>
      <c r="BB66" s="235"/>
      <c r="BC66" s="234">
        <v>1.3596490000000001</v>
      </c>
      <c r="BD66" s="234">
        <v>1.427098</v>
      </c>
      <c r="BE66" s="234">
        <v>1.452035</v>
      </c>
      <c r="BF66" s="234">
        <v>1.3597980000000001</v>
      </c>
      <c r="BG66" s="234">
        <v>1.388371</v>
      </c>
      <c r="BH66" s="234">
        <v>1.4166380000000001</v>
      </c>
      <c r="BI66" s="234">
        <v>1.5414099999999999</v>
      </c>
      <c r="BJ66" s="234">
        <v>1.4021269999999999</v>
      </c>
      <c r="BK66" s="234">
        <v>1.3957630000000001</v>
      </c>
      <c r="BL66" s="234">
        <v>1.4204859999999999</v>
      </c>
      <c r="BM66" s="234">
        <v>1.445756</v>
      </c>
      <c r="BN66" s="234">
        <v>1.4330970000000001</v>
      </c>
      <c r="BO66" s="234">
        <v>3.5587569999999999</v>
      </c>
      <c r="BP66" s="234">
        <v>3.9047999999999998</v>
      </c>
      <c r="BQ66" s="234">
        <v>3.9671699999999999</v>
      </c>
      <c r="BR66" s="234">
        <v>3.557982</v>
      </c>
      <c r="BS66" s="234">
        <v>3.6183640000000001</v>
      </c>
      <c r="BT66" s="234">
        <v>3.6770849999999999</v>
      </c>
      <c r="BU66" s="234">
        <v>3.9447070000000002</v>
      </c>
      <c r="BV66" s="234">
        <v>3.6485820000000002</v>
      </c>
      <c r="BW66" s="234">
        <v>3.646722</v>
      </c>
      <c r="BX66" s="234">
        <v>3.696993</v>
      </c>
      <c r="BY66" s="234">
        <v>3.749285</v>
      </c>
      <c r="BZ66" s="234">
        <v>3.7232850000000002</v>
      </c>
      <c r="CA66" s="234">
        <v>0.38865499999999997</v>
      </c>
      <c r="CB66" s="234">
        <v>0.390127</v>
      </c>
      <c r="CC66" s="234">
        <v>0.38579400000000003</v>
      </c>
      <c r="CD66" s="234">
        <v>0.43469099999999999</v>
      </c>
      <c r="CE66" s="234">
        <v>0.424626</v>
      </c>
      <c r="CF66" s="234">
        <v>0.387077</v>
      </c>
      <c r="CG66" s="234">
        <v>0.38874799999999998</v>
      </c>
      <c r="CH66" s="234">
        <v>0.38699</v>
      </c>
      <c r="CI66" s="234">
        <v>1.4070910000000001</v>
      </c>
      <c r="CJ66" s="234">
        <v>1.460078</v>
      </c>
      <c r="CK66" s="234">
        <v>1.486558</v>
      </c>
      <c r="CL66" s="234">
        <v>1.4072260000000001</v>
      </c>
      <c r="CM66" s="234">
        <v>1.43666</v>
      </c>
      <c r="CN66" s="234">
        <v>1.4666980000000001</v>
      </c>
      <c r="CO66" s="234">
        <v>1.5699289999999999</v>
      </c>
      <c r="CP66" s="234">
        <v>1.4514640000000001</v>
      </c>
      <c r="CQ66" s="234">
        <v>1.4456720000000001</v>
      </c>
      <c r="CR66" s="234">
        <v>1.4704930000000001</v>
      </c>
      <c r="CS66" s="234">
        <v>1.4963010000000001</v>
      </c>
      <c r="CT66" s="234">
        <v>1.4831490000000001</v>
      </c>
      <c r="CU66" s="234">
        <v>3.000156</v>
      </c>
      <c r="CV66" s="234">
        <v>3.0042019999999998</v>
      </c>
      <c r="CW66" s="234">
        <v>3.5369410000000001</v>
      </c>
      <c r="CX66" s="234">
        <v>2.9767619999999999</v>
      </c>
      <c r="CY66" s="234">
        <v>3.244739</v>
      </c>
      <c r="CZ66" s="234">
        <v>3.327029</v>
      </c>
      <c r="DA66" s="234">
        <v>3.6186449999999999</v>
      </c>
      <c r="DB66" s="234">
        <v>2.9690720000000002</v>
      </c>
      <c r="DC66" s="234">
        <v>0.96688300000000005</v>
      </c>
      <c r="DD66" s="234">
        <v>0.96704299999999999</v>
      </c>
      <c r="DE66" s="234">
        <v>0.96589499999999995</v>
      </c>
      <c r="DF66" s="234">
        <v>1.0067820000000001</v>
      </c>
      <c r="DG66" s="234">
        <v>1.0010969999999999</v>
      </c>
      <c r="DH66" s="234">
        <v>0.96606599999999998</v>
      </c>
      <c r="DI66" s="234">
        <v>0.96689099999999994</v>
      </c>
      <c r="DJ66" s="234">
        <v>0.96606400000000003</v>
      </c>
      <c r="DK66" s="236"/>
      <c r="DL66" s="234">
        <v>17.133600000000001</v>
      </c>
      <c r="DM66" s="234">
        <v>120.42787133763458</v>
      </c>
      <c r="DN66" s="234">
        <v>175.22129312679098</v>
      </c>
      <c r="DO66" s="234">
        <v>190.51200707710504</v>
      </c>
      <c r="DP66" s="234">
        <v>8.0604770000000006</v>
      </c>
      <c r="DQ66" s="234">
        <v>204.91613330448195</v>
      </c>
      <c r="DR66" s="234">
        <v>222.78145367781534</v>
      </c>
      <c r="DS66" s="234">
        <v>7.118896404091414</v>
      </c>
      <c r="DT66" s="234">
        <v>8.1239421911079042</v>
      </c>
      <c r="DU66" s="237"/>
      <c r="DV66" s="238">
        <v>57372.76</v>
      </c>
      <c r="DW66" s="238">
        <v>4845.6499999999996</v>
      </c>
      <c r="DX66" s="238">
        <v>83023.428839999993</v>
      </c>
      <c r="DY66" s="238">
        <v>17137.240000000002</v>
      </c>
      <c r="DZ66" s="238">
        <v>293622.61526400002</v>
      </c>
      <c r="EB66" s="239">
        <v>45322</v>
      </c>
      <c r="EC66" s="239">
        <v>45351</v>
      </c>
    </row>
    <row r="67" spans="1:133" x14ac:dyDescent="0.35">
      <c r="A67" s="233">
        <v>45351</v>
      </c>
      <c r="B67" s="234">
        <v>3.259385</v>
      </c>
      <c r="C67" s="234">
        <v>3.7783959999999999</v>
      </c>
      <c r="D67" s="234">
        <v>3.2593830000000001</v>
      </c>
      <c r="E67" s="234">
        <v>3.9986630000000001</v>
      </c>
      <c r="F67" s="234">
        <v>3.4788009999999998</v>
      </c>
      <c r="G67" s="234">
        <v>3.3343349999999998</v>
      </c>
      <c r="H67" s="234">
        <v>3.2714319999999999</v>
      </c>
      <c r="I67" s="234">
        <v>3.3467259999999999</v>
      </c>
      <c r="J67" s="234">
        <v>3.053121</v>
      </c>
      <c r="K67" s="234">
        <v>3.236065</v>
      </c>
      <c r="L67" s="234">
        <v>5.9147030000000003</v>
      </c>
      <c r="M67" s="234">
        <v>5.9099079999999997</v>
      </c>
      <c r="N67" s="234">
        <v>6.9028869999999998</v>
      </c>
      <c r="O67" s="234">
        <v>7.2499070000000003</v>
      </c>
      <c r="P67" s="234">
        <v>5.9146989999999997</v>
      </c>
      <c r="Q67" s="234">
        <v>7.436045</v>
      </c>
      <c r="R67" s="234">
        <v>6.4199250000000001</v>
      </c>
      <c r="S67" s="234">
        <v>6.1758470000000001</v>
      </c>
      <c r="T67" s="234">
        <v>6.5905269999999998</v>
      </c>
      <c r="U67" s="234">
        <v>6.721711</v>
      </c>
      <c r="V67" s="234">
        <v>6.8598650000000001</v>
      </c>
      <c r="W67" s="234">
        <v>0.760019</v>
      </c>
      <c r="X67" s="234">
        <v>0.95831500000000003</v>
      </c>
      <c r="Y67" s="234">
        <v>1.001695</v>
      </c>
      <c r="Z67" s="234">
        <v>0.760019</v>
      </c>
      <c r="AA67" s="234">
        <v>0.83743800000000002</v>
      </c>
      <c r="AB67" s="234">
        <v>1.0351900000000001</v>
      </c>
      <c r="AC67" s="234">
        <v>0.85229100000000002</v>
      </c>
      <c r="AD67" s="234">
        <v>0.82036900000000001</v>
      </c>
      <c r="AE67" s="234">
        <v>0.81625599999999998</v>
      </c>
      <c r="AF67" s="234">
        <v>0.93769400000000003</v>
      </c>
      <c r="AG67" s="234">
        <v>0.85858400000000001</v>
      </c>
      <c r="AH67" s="234">
        <v>0.93310099999999996</v>
      </c>
      <c r="AI67" s="234">
        <v>1.0227999999999999</v>
      </c>
      <c r="AJ67" s="234">
        <v>0.93287200000000003</v>
      </c>
      <c r="AK67" s="234">
        <v>1.0955269999999999</v>
      </c>
      <c r="AL67" s="234">
        <v>0.98566699999999996</v>
      </c>
      <c r="AM67" s="234">
        <v>0.93292299999999995</v>
      </c>
      <c r="AN67" s="234">
        <v>0.94577299999999997</v>
      </c>
      <c r="AO67" s="234">
        <v>0.94585600000000003</v>
      </c>
      <c r="AP67" s="234">
        <v>1.5786359999999999</v>
      </c>
      <c r="AQ67" s="234">
        <v>1.598387</v>
      </c>
      <c r="AR67" s="234">
        <v>1.4646619999999999</v>
      </c>
      <c r="AS67" s="234">
        <v>1.5835520000000001</v>
      </c>
      <c r="AT67" s="234">
        <v>1.6473739999999999</v>
      </c>
      <c r="AU67" s="234">
        <v>1.5227489999999999</v>
      </c>
      <c r="AV67" s="234">
        <v>1.671872</v>
      </c>
      <c r="AW67" s="234">
        <v>1.589521</v>
      </c>
      <c r="AX67" s="234">
        <v>1.502748</v>
      </c>
      <c r="AY67" s="234">
        <v>1.685095</v>
      </c>
      <c r="AZ67" s="234">
        <v>1.538381</v>
      </c>
      <c r="BA67" s="234">
        <v>1.577493</v>
      </c>
      <c r="BB67" s="235"/>
      <c r="BC67" s="234">
        <v>1.3800490000000001</v>
      </c>
      <c r="BD67" s="234">
        <v>1.449203</v>
      </c>
      <c r="BE67" s="234">
        <v>1.4748619999999999</v>
      </c>
      <c r="BF67" s="234">
        <v>1.380201</v>
      </c>
      <c r="BG67" s="234">
        <v>1.409546</v>
      </c>
      <c r="BH67" s="234">
        <v>1.438582</v>
      </c>
      <c r="BI67" s="234">
        <v>1.5672159999999999</v>
      </c>
      <c r="BJ67" s="234">
        <v>1.423672</v>
      </c>
      <c r="BK67" s="234">
        <v>1.4172089999999999</v>
      </c>
      <c r="BL67" s="234">
        <v>1.4426099999999999</v>
      </c>
      <c r="BM67" s="234">
        <v>1.4685760000000001</v>
      </c>
      <c r="BN67" s="234">
        <v>1.455568</v>
      </c>
      <c r="BO67" s="234">
        <v>3.6753469999999999</v>
      </c>
      <c r="BP67" s="234">
        <v>4.0340769999999999</v>
      </c>
      <c r="BQ67" s="234">
        <v>4.0994630000000001</v>
      </c>
      <c r="BR67" s="234">
        <v>3.6745459999999999</v>
      </c>
      <c r="BS67" s="234">
        <v>3.737806</v>
      </c>
      <c r="BT67" s="234">
        <v>3.7993450000000002</v>
      </c>
      <c r="BU67" s="234">
        <v>4.0801259999999999</v>
      </c>
      <c r="BV67" s="234">
        <v>3.7694749999999999</v>
      </c>
      <c r="BW67" s="234">
        <v>3.7675529999999999</v>
      </c>
      <c r="BX67" s="234">
        <v>3.8202539999999998</v>
      </c>
      <c r="BY67" s="234">
        <v>3.8750559999999998</v>
      </c>
      <c r="BZ67" s="234">
        <v>3.8478110000000001</v>
      </c>
      <c r="CA67" s="234">
        <v>0.40545900000000001</v>
      </c>
      <c r="CB67" s="234">
        <v>0.407001</v>
      </c>
      <c r="CC67" s="234">
        <v>0.40247500000000003</v>
      </c>
      <c r="CD67" s="234">
        <v>0.45421499999999998</v>
      </c>
      <c r="CE67" s="234">
        <v>0.44361699999999998</v>
      </c>
      <c r="CF67" s="234">
        <v>0.40381899999999998</v>
      </c>
      <c r="CG67" s="234">
        <v>0.40555600000000003</v>
      </c>
      <c r="CH67" s="234">
        <v>0.40372400000000003</v>
      </c>
      <c r="CI67" s="234">
        <v>1.441737</v>
      </c>
      <c r="CJ67" s="234">
        <v>1.4965329999999999</v>
      </c>
      <c r="CK67" s="234">
        <v>1.5240340000000001</v>
      </c>
      <c r="CL67" s="234">
        <v>1.4418740000000001</v>
      </c>
      <c r="CM67" s="234">
        <v>1.472388</v>
      </c>
      <c r="CN67" s="234">
        <v>1.503536</v>
      </c>
      <c r="CO67" s="234">
        <v>1.6109830000000001</v>
      </c>
      <c r="CP67" s="234">
        <v>1.4877400000000001</v>
      </c>
      <c r="CQ67" s="234">
        <v>1.481803</v>
      </c>
      <c r="CR67" s="234">
        <v>1.5075510000000001</v>
      </c>
      <c r="CS67" s="234">
        <v>1.53433</v>
      </c>
      <c r="CT67" s="234">
        <v>1.520688</v>
      </c>
      <c r="CU67" s="234">
        <v>2.906307</v>
      </c>
      <c r="CV67" s="234">
        <v>2.910291</v>
      </c>
      <c r="CW67" s="234">
        <v>3.4347669999999999</v>
      </c>
      <c r="CX67" s="234">
        <v>2.8835250000000001</v>
      </c>
      <c r="CY67" s="234">
        <v>3.1468820000000002</v>
      </c>
      <c r="CZ67" s="234">
        <v>3.227983</v>
      </c>
      <c r="DA67" s="234">
        <v>3.5149919999999999</v>
      </c>
      <c r="DB67" s="234">
        <v>2.8760110000000001</v>
      </c>
      <c r="DC67" s="234">
        <v>1.014202</v>
      </c>
      <c r="DD67" s="234">
        <v>1.0144070000000001</v>
      </c>
      <c r="DE67" s="234">
        <v>1.0131600000000001</v>
      </c>
      <c r="DF67" s="234">
        <v>1.057776</v>
      </c>
      <c r="DG67" s="234">
        <v>1.0515779999999999</v>
      </c>
      <c r="DH67" s="234">
        <v>1.013377</v>
      </c>
      <c r="DI67" s="234">
        <v>1.0142100000000001</v>
      </c>
      <c r="DJ67" s="234">
        <v>1.013374</v>
      </c>
      <c r="DK67" s="236"/>
      <c r="DL67" s="234">
        <v>17.054300000000001</v>
      </c>
      <c r="DM67" s="234">
        <v>120.7024134320979</v>
      </c>
      <c r="DN67" s="234">
        <v>176.5029395408506</v>
      </c>
      <c r="DO67" s="234">
        <v>191.98223057172061</v>
      </c>
      <c r="DP67" s="234">
        <v>8.1090119999999999</v>
      </c>
      <c r="DQ67" s="234">
        <v>206.73191793015224</v>
      </c>
      <c r="DR67" s="234">
        <v>224.84527631119178</v>
      </c>
      <c r="DS67" s="234">
        <v>7.179268106172751</v>
      </c>
      <c r="DT67" s="234">
        <v>8.196109313409595</v>
      </c>
      <c r="DU67" s="237"/>
      <c r="DV67" s="238">
        <v>55414</v>
      </c>
      <c r="DW67" s="238">
        <v>5096.2700000000004</v>
      </c>
      <c r="DX67" s="238">
        <v>86913.317461000013</v>
      </c>
      <c r="DY67" s="238">
        <v>18043.849999999999</v>
      </c>
      <c r="DZ67" s="238">
        <v>307725.23105499998</v>
      </c>
      <c r="EB67" s="239">
        <v>45351</v>
      </c>
      <c r="EC67" s="239">
        <v>45378</v>
      </c>
    </row>
    <row r="68" spans="1:133" x14ac:dyDescent="0.35">
      <c r="A68" s="233">
        <v>45378</v>
      </c>
      <c r="B68" s="234">
        <v>3.267353</v>
      </c>
      <c r="C68" s="234">
        <v>3.7895189999999999</v>
      </c>
      <c r="D68" s="234">
        <v>3.2673519999999998</v>
      </c>
      <c r="E68" s="234">
        <v>4.0151640000000004</v>
      </c>
      <c r="F68" s="234">
        <v>3.4908440000000001</v>
      </c>
      <c r="G68" s="234">
        <v>3.3436349999999999</v>
      </c>
      <c r="H68" s="234">
        <v>3.279436</v>
      </c>
      <c r="I68" s="234">
        <v>3.35608</v>
      </c>
      <c r="J68" s="234">
        <v>3.0772499999999998</v>
      </c>
      <c r="K68" s="234">
        <v>3.263096</v>
      </c>
      <c r="L68" s="234">
        <v>5.9607919999999996</v>
      </c>
      <c r="M68" s="234">
        <v>5.9529009999999998</v>
      </c>
      <c r="N68" s="234">
        <v>6.9599169999999999</v>
      </c>
      <c r="O68" s="234">
        <v>7.3187870000000004</v>
      </c>
      <c r="P68" s="234">
        <v>5.9607869999999998</v>
      </c>
      <c r="Q68" s="234">
        <v>7.5081699999999998</v>
      </c>
      <c r="R68" s="234">
        <v>6.4781409999999999</v>
      </c>
      <c r="S68" s="234">
        <v>6.2268699999999999</v>
      </c>
      <c r="T68" s="234">
        <v>6.6470969999999996</v>
      </c>
      <c r="U68" s="234">
        <v>6.782794</v>
      </c>
      <c r="V68" s="234">
        <v>6.9216980000000001</v>
      </c>
      <c r="W68" s="234">
        <v>0.76580000000000004</v>
      </c>
      <c r="X68" s="234">
        <v>0.96670100000000003</v>
      </c>
      <c r="Y68" s="234">
        <v>1.0107079999999999</v>
      </c>
      <c r="Z68" s="234">
        <v>0.76580099999999995</v>
      </c>
      <c r="AA68" s="234">
        <v>0.84425399999999995</v>
      </c>
      <c r="AB68" s="234">
        <v>1.04548</v>
      </c>
      <c r="AC68" s="234">
        <v>0.86029</v>
      </c>
      <c r="AD68" s="234">
        <v>0.82739099999999999</v>
      </c>
      <c r="AE68" s="234">
        <v>0.82269000000000003</v>
      </c>
      <c r="AF68" s="234">
        <v>0.94582699999999997</v>
      </c>
      <c r="AG68" s="234">
        <v>0.86582499999999996</v>
      </c>
      <c r="AH68" s="234">
        <v>0.90923600000000004</v>
      </c>
      <c r="AI68" s="234">
        <v>0.99665300000000001</v>
      </c>
      <c r="AJ68" s="234">
        <v>0.90901299999999996</v>
      </c>
      <c r="AK68" s="234">
        <v>1.0686230000000001</v>
      </c>
      <c r="AL68" s="234">
        <v>0.96126</v>
      </c>
      <c r="AM68" s="234">
        <v>0.90906299999999995</v>
      </c>
      <c r="AN68" s="234">
        <v>0.92158399999999996</v>
      </c>
      <c r="AO68" s="234">
        <v>0.92167500000000002</v>
      </c>
      <c r="AP68" s="234">
        <v>1.592279</v>
      </c>
      <c r="AQ68" s="234">
        <v>1.613218</v>
      </c>
      <c r="AR68" s="234">
        <v>1.4765489999999999</v>
      </c>
      <c r="AS68" s="234">
        <v>1.5972390000000001</v>
      </c>
      <c r="AT68" s="234">
        <v>1.6620459999999999</v>
      </c>
      <c r="AU68" s="234">
        <v>1.5355099999999999</v>
      </c>
      <c r="AV68" s="234">
        <v>1.688555</v>
      </c>
      <c r="AW68" s="234">
        <v>1.604444</v>
      </c>
      <c r="AX68" s="234">
        <v>1.5152099999999999</v>
      </c>
      <c r="AY68" s="234">
        <v>1.700367</v>
      </c>
      <c r="AZ68" s="234">
        <v>1.552041</v>
      </c>
      <c r="BA68" s="234">
        <v>1.591766</v>
      </c>
      <c r="BB68" s="235"/>
      <c r="BC68" s="234">
        <v>1.3829100000000001</v>
      </c>
      <c r="BD68" s="234">
        <v>1.4529479999999999</v>
      </c>
      <c r="BE68" s="234">
        <v>1.4790350000000001</v>
      </c>
      <c r="BF68" s="234">
        <v>1.383062</v>
      </c>
      <c r="BG68" s="234">
        <v>1.4128369999999999</v>
      </c>
      <c r="BH68" s="234">
        <v>1.442302</v>
      </c>
      <c r="BI68" s="234">
        <v>1.573339</v>
      </c>
      <c r="BJ68" s="234">
        <v>1.427168</v>
      </c>
      <c r="BK68" s="234">
        <v>1.420687</v>
      </c>
      <c r="BL68" s="234">
        <v>1.446469</v>
      </c>
      <c r="BM68" s="234">
        <v>1.4728289999999999</v>
      </c>
      <c r="BN68" s="234">
        <v>1.4596279999999999</v>
      </c>
      <c r="BO68" s="234">
        <v>3.6429330000000002</v>
      </c>
      <c r="BP68" s="234">
        <v>3.9999090000000002</v>
      </c>
      <c r="BQ68" s="234">
        <v>4.0657610000000002</v>
      </c>
      <c r="BR68" s="234">
        <v>3.6421399999999999</v>
      </c>
      <c r="BS68" s="234">
        <v>3.7057950000000002</v>
      </c>
      <c r="BT68" s="234">
        <v>3.7677369999999999</v>
      </c>
      <c r="BU68" s="234">
        <v>4.0507049999999998</v>
      </c>
      <c r="BV68" s="234">
        <v>3.7376719999999999</v>
      </c>
      <c r="BW68" s="234">
        <v>3.7357670000000001</v>
      </c>
      <c r="BX68" s="234">
        <v>3.7888269999999999</v>
      </c>
      <c r="BY68" s="234">
        <v>3.8439969999999999</v>
      </c>
      <c r="BZ68" s="234">
        <v>3.8165809999999998</v>
      </c>
      <c r="CA68" s="234">
        <v>0.40592299999999998</v>
      </c>
      <c r="CB68" s="234">
        <v>0.40747299999999997</v>
      </c>
      <c r="CC68" s="234">
        <v>0.40282699999999999</v>
      </c>
      <c r="CD68" s="234">
        <v>0.45552500000000001</v>
      </c>
      <c r="CE68" s="234">
        <v>0.44468299999999999</v>
      </c>
      <c r="CF68" s="234">
        <v>0.40417799999999998</v>
      </c>
      <c r="CG68" s="234">
        <v>0.40602100000000002</v>
      </c>
      <c r="CH68" s="234">
        <v>0.40408300000000003</v>
      </c>
      <c r="CI68" s="234">
        <v>1.4414769999999999</v>
      </c>
      <c r="CJ68" s="234">
        <v>1.4967999999999999</v>
      </c>
      <c r="CK68" s="234">
        <v>1.5246919999999999</v>
      </c>
      <c r="CL68" s="234">
        <v>1.441614</v>
      </c>
      <c r="CM68" s="234">
        <v>1.472502</v>
      </c>
      <c r="CN68" s="234">
        <v>1.50404</v>
      </c>
      <c r="CO68" s="234">
        <v>1.6132599999999999</v>
      </c>
      <c r="CP68" s="234">
        <v>1.4880469999999999</v>
      </c>
      <c r="CQ68" s="234">
        <v>1.4821070000000001</v>
      </c>
      <c r="CR68" s="234">
        <v>1.5081899999999999</v>
      </c>
      <c r="CS68" s="234">
        <v>1.5353250000000001</v>
      </c>
      <c r="CT68" s="234">
        <v>1.521509</v>
      </c>
      <c r="CU68" s="234">
        <v>2.98685</v>
      </c>
      <c r="CV68" s="234">
        <v>2.9910130000000001</v>
      </c>
      <c r="CW68" s="234">
        <v>3.5395189999999999</v>
      </c>
      <c r="CX68" s="234">
        <v>2.9634870000000002</v>
      </c>
      <c r="CY68" s="234">
        <v>3.2380840000000002</v>
      </c>
      <c r="CZ68" s="234">
        <v>3.3232050000000002</v>
      </c>
      <c r="DA68" s="234">
        <v>3.6229819999999999</v>
      </c>
      <c r="DB68" s="234">
        <v>2.9556900000000002</v>
      </c>
      <c r="DC68" s="234">
        <v>1.000407</v>
      </c>
      <c r="DD68" s="234">
        <v>1.000648</v>
      </c>
      <c r="DE68" s="234">
        <v>0.99923600000000001</v>
      </c>
      <c r="DF68" s="234">
        <v>1.0452250000000001</v>
      </c>
      <c r="DG68" s="234">
        <v>1.038707</v>
      </c>
      <c r="DH68" s="234">
        <v>0.99948899999999996</v>
      </c>
      <c r="DI68" s="234">
        <v>1.0004139999999999</v>
      </c>
      <c r="DJ68" s="234">
        <v>0.99948499999999996</v>
      </c>
      <c r="DK68" s="236"/>
      <c r="DL68" s="234">
        <v>16.5625</v>
      </c>
      <c r="DM68" s="234">
        <v>120.96222537701048</v>
      </c>
      <c r="DN68" s="234">
        <v>177.69698192684444</v>
      </c>
      <c r="DO68" s="234">
        <v>193.35298369800267</v>
      </c>
      <c r="DP68" s="234">
        <v>8.1111730000000009</v>
      </c>
      <c r="DQ68" s="234">
        <v>208.42815331676914</v>
      </c>
      <c r="DR68" s="234">
        <v>226.77444878194183</v>
      </c>
      <c r="DS68" s="234">
        <v>7.2358990704027555</v>
      </c>
      <c r="DT68" s="234">
        <v>8.2638347891799633</v>
      </c>
      <c r="DU68" s="237"/>
      <c r="DV68" s="238">
        <v>57369.01</v>
      </c>
      <c r="DW68" s="238">
        <v>5248.49</v>
      </c>
      <c r="DX68" s="238">
        <v>86928.115624999991</v>
      </c>
      <c r="DY68" s="238">
        <v>18280.84</v>
      </c>
      <c r="DZ68" s="238">
        <v>302776.41249999998</v>
      </c>
      <c r="EB68" s="239">
        <v>45378</v>
      </c>
      <c r="EC68" s="239">
        <v>45412</v>
      </c>
    </row>
    <row r="69" spans="1:133" x14ac:dyDescent="0.35">
      <c r="A69" s="233">
        <v>45412</v>
      </c>
      <c r="B69" s="234">
        <v>3.1824309999999998</v>
      </c>
      <c r="C69" s="234">
        <v>3.6928619999999999</v>
      </c>
      <c r="D69" s="234">
        <v>3.1824300000000001</v>
      </c>
      <c r="E69" s="234">
        <v>3.917367</v>
      </c>
      <c r="F69" s="234">
        <v>3.403565</v>
      </c>
      <c r="G69" s="234">
        <v>3.257879</v>
      </c>
      <c r="H69" s="234">
        <v>3.1942059999999999</v>
      </c>
      <c r="I69" s="234">
        <v>3.270003</v>
      </c>
      <c r="J69" s="234">
        <v>3.1029810000000002</v>
      </c>
      <c r="K69" s="234">
        <v>3.2918479999999999</v>
      </c>
      <c r="L69" s="234">
        <v>6.004308</v>
      </c>
      <c r="M69" s="234">
        <v>5.9932550000000004</v>
      </c>
      <c r="N69" s="234">
        <v>7.014011</v>
      </c>
      <c r="O69" s="234">
        <v>7.384735</v>
      </c>
      <c r="P69" s="234">
        <v>6.0043040000000003</v>
      </c>
      <c r="Q69" s="234">
        <v>7.5773130000000002</v>
      </c>
      <c r="R69" s="234">
        <v>6.5336999999999996</v>
      </c>
      <c r="S69" s="234">
        <v>6.2752670000000004</v>
      </c>
      <c r="T69" s="234">
        <v>6.7008850000000004</v>
      </c>
      <c r="U69" s="234">
        <v>6.8410979999999997</v>
      </c>
      <c r="V69" s="234">
        <v>6.9807329999999999</v>
      </c>
      <c r="W69" s="234">
        <v>0.77136199999999999</v>
      </c>
      <c r="X69" s="234">
        <v>0.97483500000000001</v>
      </c>
      <c r="Y69" s="234">
        <v>1.019466</v>
      </c>
      <c r="Z69" s="234">
        <v>0.77136199999999999</v>
      </c>
      <c r="AA69" s="234">
        <v>0.85083600000000004</v>
      </c>
      <c r="AB69" s="234">
        <v>1.0555209999999999</v>
      </c>
      <c r="AC69" s="234">
        <v>0.86806799999999995</v>
      </c>
      <c r="AD69" s="234">
        <v>0.83421199999999995</v>
      </c>
      <c r="AE69" s="234">
        <v>0.82889100000000004</v>
      </c>
      <c r="AF69" s="234">
        <v>0.95370699999999997</v>
      </c>
      <c r="AG69" s="234">
        <v>0.87285199999999996</v>
      </c>
      <c r="AH69" s="234">
        <v>0.94327899999999998</v>
      </c>
      <c r="AI69" s="234">
        <v>1.0339879999999999</v>
      </c>
      <c r="AJ69" s="234">
        <v>0.94304699999999997</v>
      </c>
      <c r="AK69" s="234">
        <v>1.1097999999999999</v>
      </c>
      <c r="AL69" s="234">
        <v>0.998085</v>
      </c>
      <c r="AM69" s="234">
        <v>0.94310000000000005</v>
      </c>
      <c r="AN69" s="234">
        <v>0.95608899999999997</v>
      </c>
      <c r="AO69" s="234">
        <v>0.95619500000000002</v>
      </c>
      <c r="AP69" s="234">
        <v>1.6054010000000001</v>
      </c>
      <c r="AQ69" s="234">
        <v>1.6275409999999999</v>
      </c>
      <c r="AR69" s="234">
        <v>1.487941</v>
      </c>
      <c r="AS69" s="234">
        <v>1.6104039999999999</v>
      </c>
      <c r="AT69" s="234">
        <v>1.6761820000000001</v>
      </c>
      <c r="AU69" s="234">
        <v>1.5477620000000001</v>
      </c>
      <c r="AV69" s="234">
        <v>1.7047289999999999</v>
      </c>
      <c r="AW69" s="234">
        <v>1.6188640000000001</v>
      </c>
      <c r="AX69" s="234">
        <v>1.527204</v>
      </c>
      <c r="AY69" s="234">
        <v>1.71513</v>
      </c>
      <c r="AZ69" s="234">
        <v>1.5652010000000001</v>
      </c>
      <c r="BA69" s="234">
        <v>1.605564</v>
      </c>
      <c r="BB69" s="235"/>
      <c r="BC69" s="234">
        <v>1.371543</v>
      </c>
      <c r="BD69" s="234">
        <v>1.4417530000000001</v>
      </c>
      <c r="BE69" s="234">
        <v>1.467997</v>
      </c>
      <c r="BF69" s="234">
        <v>1.371694</v>
      </c>
      <c r="BG69" s="234">
        <v>1.4015899999999999</v>
      </c>
      <c r="BH69" s="234">
        <v>1.4311799999999999</v>
      </c>
      <c r="BI69" s="234">
        <v>1.563266</v>
      </c>
      <c r="BJ69" s="234">
        <v>1.415978</v>
      </c>
      <c r="BK69" s="234">
        <v>1.409546</v>
      </c>
      <c r="BL69" s="234">
        <v>1.435443</v>
      </c>
      <c r="BM69" s="234">
        <v>1.4619249999999999</v>
      </c>
      <c r="BN69" s="234">
        <v>1.448661</v>
      </c>
      <c r="BO69" s="234">
        <v>3.6392980000000001</v>
      </c>
      <c r="BP69" s="234">
        <v>3.9973809999999999</v>
      </c>
      <c r="BQ69" s="234">
        <v>4.0642180000000003</v>
      </c>
      <c r="BR69" s="234">
        <v>3.6385049999999999</v>
      </c>
      <c r="BS69" s="234">
        <v>3.7030500000000002</v>
      </c>
      <c r="BT69" s="234">
        <v>3.7658779999999998</v>
      </c>
      <c r="BU69" s="234">
        <v>4.0532339999999998</v>
      </c>
      <c r="BV69" s="234">
        <v>3.7353839999999998</v>
      </c>
      <c r="BW69" s="234">
        <v>3.7334800000000001</v>
      </c>
      <c r="BX69" s="234">
        <v>3.7873420000000002</v>
      </c>
      <c r="BY69" s="234">
        <v>3.8432789999999999</v>
      </c>
      <c r="BZ69" s="234">
        <v>3.815461</v>
      </c>
      <c r="CA69" s="234">
        <v>0.40245500000000001</v>
      </c>
      <c r="CB69" s="234">
        <v>0.403997</v>
      </c>
      <c r="CC69" s="234">
        <v>0.39938499999999999</v>
      </c>
      <c r="CD69" s="234">
        <v>0.45241700000000001</v>
      </c>
      <c r="CE69" s="234">
        <v>0.441556</v>
      </c>
      <c r="CF69" s="234">
        <v>0.400731</v>
      </c>
      <c r="CG69" s="234">
        <v>0.40255200000000002</v>
      </c>
      <c r="CH69" s="234">
        <v>0.40062799999999998</v>
      </c>
      <c r="CI69" s="234">
        <v>1.4270339999999999</v>
      </c>
      <c r="CJ69" s="234">
        <v>1.4823470000000001</v>
      </c>
      <c r="CK69" s="234">
        <v>1.5103549999999999</v>
      </c>
      <c r="CL69" s="234">
        <v>1.42717</v>
      </c>
      <c r="CM69" s="234">
        <v>1.458124</v>
      </c>
      <c r="CN69" s="234">
        <v>1.489738</v>
      </c>
      <c r="CO69" s="234">
        <v>1.5996440000000001</v>
      </c>
      <c r="CP69" s="234">
        <v>1.4737070000000001</v>
      </c>
      <c r="CQ69" s="234">
        <v>1.467824</v>
      </c>
      <c r="CR69" s="234">
        <v>1.4939819999999999</v>
      </c>
      <c r="CS69" s="234">
        <v>1.5212000000000001</v>
      </c>
      <c r="CT69" s="234">
        <v>1.5073460000000001</v>
      </c>
      <c r="CU69" s="234">
        <v>2.9682409999999999</v>
      </c>
      <c r="CV69" s="234">
        <v>2.9724539999999999</v>
      </c>
      <c r="CW69" s="234">
        <v>3.526532</v>
      </c>
      <c r="CX69" s="234">
        <v>2.9447209999999999</v>
      </c>
      <c r="CY69" s="234">
        <v>3.2218840000000002</v>
      </c>
      <c r="CZ69" s="234">
        <v>3.3078189999999998</v>
      </c>
      <c r="DA69" s="234">
        <v>3.610954</v>
      </c>
      <c r="DB69" s="234">
        <v>2.9368979999999998</v>
      </c>
      <c r="DC69" s="234">
        <v>0.98653299999999999</v>
      </c>
      <c r="DD69" s="234">
        <v>0.98682099999999995</v>
      </c>
      <c r="DE69" s="234">
        <v>0.98537799999999998</v>
      </c>
      <c r="DF69" s="234">
        <v>1.0325489999999999</v>
      </c>
      <c r="DG69" s="234">
        <v>1.0258659999999999</v>
      </c>
      <c r="DH69" s="234">
        <v>0.98567099999999996</v>
      </c>
      <c r="DI69" s="234">
        <v>0.986541</v>
      </c>
      <c r="DJ69" s="234">
        <v>0.985676</v>
      </c>
      <c r="DK69" s="236"/>
      <c r="DL69" s="234">
        <v>17.126799999999999</v>
      </c>
      <c r="DM69" s="234">
        <v>121.30723652428026</v>
      </c>
      <c r="DN69" s="234">
        <v>179.21747576886517</v>
      </c>
      <c r="DO69" s="234">
        <v>195.09874630414711</v>
      </c>
      <c r="DP69" s="234">
        <v>8.1305029999999991</v>
      </c>
      <c r="DQ69" s="234">
        <v>210.54427804002688</v>
      </c>
      <c r="DR69" s="234">
        <v>229.18392730024999</v>
      </c>
      <c r="DS69" s="234">
        <v>7.3074227167585439</v>
      </c>
      <c r="DT69" s="234">
        <v>8.3494214896837686</v>
      </c>
      <c r="DU69" s="237"/>
      <c r="DV69" s="238">
        <v>56727.98</v>
      </c>
      <c r="DW69" s="238">
        <v>5116.17</v>
      </c>
      <c r="DX69" s="238">
        <v>87623.620355999999</v>
      </c>
      <c r="DY69" s="238">
        <v>17782.82</v>
      </c>
      <c r="DZ69" s="238">
        <v>304562.801576</v>
      </c>
      <c r="EB69" s="239">
        <v>45412</v>
      </c>
      <c r="EC69" s="239">
        <v>45443</v>
      </c>
    </row>
    <row r="70" spans="1:133" x14ac:dyDescent="0.35">
      <c r="A70" s="233">
        <v>45443</v>
      </c>
      <c r="B70" s="234">
        <v>3.2261470000000001</v>
      </c>
      <c r="C70" s="234">
        <v>3.7454689999999999</v>
      </c>
      <c r="D70" s="234">
        <v>3.2261449999999998</v>
      </c>
      <c r="E70" s="234">
        <v>3.9780120000000001</v>
      </c>
      <c r="F70" s="234">
        <v>3.4539330000000001</v>
      </c>
      <c r="G70" s="234">
        <v>3.3037990000000002</v>
      </c>
      <c r="H70" s="234">
        <v>3.238089</v>
      </c>
      <c r="I70" s="234">
        <v>3.3161209999999999</v>
      </c>
      <c r="J70" s="234">
        <v>3.1289060000000002</v>
      </c>
      <c r="K70" s="234">
        <v>3.3208799999999998</v>
      </c>
      <c r="L70" s="234">
        <v>6.0519639999999999</v>
      </c>
      <c r="M70" s="234">
        <v>6.0377200000000002</v>
      </c>
      <c r="N70" s="234">
        <v>7.0731400000000004</v>
      </c>
      <c r="O70" s="234">
        <v>7.4564360000000001</v>
      </c>
      <c r="P70" s="234">
        <v>6.0519600000000002</v>
      </c>
      <c r="Q70" s="234">
        <v>7.6524359999999998</v>
      </c>
      <c r="R70" s="234">
        <v>6.594176</v>
      </c>
      <c r="S70" s="234">
        <v>6.3281679999999998</v>
      </c>
      <c r="T70" s="234">
        <v>6.7595549999999998</v>
      </c>
      <c r="U70" s="234">
        <v>6.9045589999999999</v>
      </c>
      <c r="V70" s="234">
        <v>7.0449809999999999</v>
      </c>
      <c r="W70" s="234">
        <v>0.77718200000000004</v>
      </c>
      <c r="X70" s="234">
        <v>0.98335300000000003</v>
      </c>
      <c r="Y70" s="234">
        <v>1.028634</v>
      </c>
      <c r="Z70" s="234">
        <v>0.77718200000000004</v>
      </c>
      <c r="AA70" s="234">
        <v>0.85772400000000004</v>
      </c>
      <c r="AB70" s="234">
        <v>1.066041</v>
      </c>
      <c r="AC70" s="234">
        <v>0.87621300000000002</v>
      </c>
      <c r="AD70" s="234">
        <v>0.84133800000000003</v>
      </c>
      <c r="AE70" s="234">
        <v>0.83538199999999996</v>
      </c>
      <c r="AF70" s="234">
        <v>0.961955</v>
      </c>
      <c r="AG70" s="234">
        <v>0.88018799999999997</v>
      </c>
      <c r="AH70" s="234">
        <v>0.93767599999999995</v>
      </c>
      <c r="AI70" s="234">
        <v>1.027868</v>
      </c>
      <c r="AJ70" s="234">
        <v>0.937446</v>
      </c>
      <c r="AK70" s="234">
        <v>1.104406</v>
      </c>
      <c r="AL70" s="234">
        <v>0.99301399999999995</v>
      </c>
      <c r="AM70" s="234">
        <v>0.9375</v>
      </c>
      <c r="AN70" s="234">
        <v>0.95041100000000001</v>
      </c>
      <c r="AO70" s="234">
        <v>0.95052899999999996</v>
      </c>
      <c r="AP70" s="234">
        <v>1.619378</v>
      </c>
      <c r="AQ70" s="234">
        <v>1.642784</v>
      </c>
      <c r="AR70" s="234">
        <v>1.5000869999999999</v>
      </c>
      <c r="AS70" s="234">
        <v>1.6244259999999999</v>
      </c>
      <c r="AT70" s="234">
        <v>1.6912320000000001</v>
      </c>
      <c r="AU70" s="234">
        <v>1.5608169999999999</v>
      </c>
      <c r="AV70" s="234">
        <v>1.7219279999999999</v>
      </c>
      <c r="AW70" s="234">
        <v>1.634206</v>
      </c>
      <c r="AX70" s="234">
        <v>1.539971</v>
      </c>
      <c r="AY70" s="234">
        <v>1.730829</v>
      </c>
      <c r="AZ70" s="234">
        <v>1.5792120000000001</v>
      </c>
      <c r="BA70" s="234">
        <v>1.620239</v>
      </c>
      <c r="BB70" s="235"/>
      <c r="BC70" s="234">
        <v>1.3981889999999999</v>
      </c>
      <c r="BD70" s="234">
        <v>1.4705729999999999</v>
      </c>
      <c r="BE70" s="234">
        <v>1.4977259999999999</v>
      </c>
      <c r="BF70" s="234">
        <v>1.3983429999999999</v>
      </c>
      <c r="BG70" s="234">
        <v>1.4292050000000001</v>
      </c>
      <c r="BH70" s="234">
        <v>1.459757</v>
      </c>
      <c r="BI70" s="234">
        <v>1.596654</v>
      </c>
      <c r="BJ70" s="234">
        <v>1.444056</v>
      </c>
      <c r="BK70" s="234">
        <v>1.4374960000000001</v>
      </c>
      <c r="BL70" s="234">
        <v>1.46424</v>
      </c>
      <c r="BM70" s="234">
        <v>1.4915929999999999</v>
      </c>
      <c r="BN70" s="234">
        <v>1.4778880000000001</v>
      </c>
      <c r="BO70" s="234">
        <v>3.7563770000000001</v>
      </c>
      <c r="BP70" s="234">
        <v>4.1276409999999997</v>
      </c>
      <c r="BQ70" s="234">
        <v>4.197692</v>
      </c>
      <c r="BR70" s="234">
        <v>3.7555580000000002</v>
      </c>
      <c r="BS70" s="234">
        <v>3.8231959999999998</v>
      </c>
      <c r="BT70" s="234">
        <v>3.889059</v>
      </c>
      <c r="BU70" s="234">
        <v>4.1906540000000003</v>
      </c>
      <c r="BV70" s="234">
        <v>3.8570929999999999</v>
      </c>
      <c r="BW70" s="234">
        <v>3.855127</v>
      </c>
      <c r="BX70" s="234">
        <v>3.911613</v>
      </c>
      <c r="BY70" s="234">
        <v>3.9702500000000001</v>
      </c>
      <c r="BZ70" s="234">
        <v>3.9410970000000001</v>
      </c>
      <c r="CA70" s="234">
        <v>0.41721999999999998</v>
      </c>
      <c r="CB70" s="234">
        <v>0.41882599999999998</v>
      </c>
      <c r="CC70" s="234">
        <v>0.41403699999999999</v>
      </c>
      <c r="CD70" s="234">
        <v>0.46985500000000002</v>
      </c>
      <c r="CE70" s="234">
        <v>0.45847599999999999</v>
      </c>
      <c r="CF70" s="234">
        <v>0.415439</v>
      </c>
      <c r="CG70" s="234">
        <v>0.41732000000000002</v>
      </c>
      <c r="CH70" s="234">
        <v>0.41533999999999999</v>
      </c>
      <c r="CI70" s="234">
        <v>1.4672430000000001</v>
      </c>
      <c r="CJ70" s="234">
        <v>1.524715</v>
      </c>
      <c r="CK70" s="234">
        <v>1.553928</v>
      </c>
      <c r="CL70" s="234">
        <v>1.4673830000000001</v>
      </c>
      <c r="CM70" s="234">
        <v>1.499609</v>
      </c>
      <c r="CN70" s="234">
        <v>1.5325299999999999</v>
      </c>
      <c r="CO70" s="234">
        <v>1.6474279999999999</v>
      </c>
      <c r="CP70" s="234">
        <v>1.5158370000000001</v>
      </c>
      <c r="CQ70" s="234">
        <v>1.5097849999999999</v>
      </c>
      <c r="CR70" s="234">
        <v>1.537037</v>
      </c>
      <c r="CS70" s="234">
        <v>1.565401</v>
      </c>
      <c r="CT70" s="234">
        <v>1.5509809999999999</v>
      </c>
      <c r="CU70" s="234">
        <v>2.9069850000000002</v>
      </c>
      <c r="CV70" s="234">
        <v>2.9112</v>
      </c>
      <c r="CW70" s="234">
        <v>3.462542</v>
      </c>
      <c r="CX70" s="234">
        <v>2.8833150000000001</v>
      </c>
      <c r="CY70" s="234">
        <v>3.1594129999999998</v>
      </c>
      <c r="CZ70" s="234">
        <v>3.2445870000000001</v>
      </c>
      <c r="DA70" s="234">
        <v>3.5471430000000002</v>
      </c>
      <c r="DB70" s="234">
        <v>2.8755630000000001</v>
      </c>
      <c r="DC70" s="234">
        <v>1.043299</v>
      </c>
      <c r="DD70" s="234">
        <v>1.043652</v>
      </c>
      <c r="DE70" s="234">
        <v>1.0420739999999999</v>
      </c>
      <c r="DF70" s="234">
        <v>1.0939540000000001</v>
      </c>
      <c r="DG70" s="234">
        <v>1.0866</v>
      </c>
      <c r="DH70" s="234">
        <v>1.0424329999999999</v>
      </c>
      <c r="DI70" s="234">
        <v>1.043307</v>
      </c>
      <c r="DJ70" s="234">
        <v>1.0424389999999999</v>
      </c>
      <c r="DK70" s="236"/>
      <c r="DL70" s="234">
        <v>16.9682</v>
      </c>
      <c r="DM70" s="234">
        <v>121.62270273215256</v>
      </c>
      <c r="DN70" s="234">
        <v>180.61567077565527</v>
      </c>
      <c r="DO70" s="234">
        <v>196.7048425389998</v>
      </c>
      <c r="DP70" s="234">
        <v>8.1492810000000002</v>
      </c>
      <c r="DQ70" s="234">
        <v>212.49146170476706</v>
      </c>
      <c r="DR70" s="234">
        <v>231.40217306770828</v>
      </c>
      <c r="DS70" s="234">
        <v>7.3735097284131399</v>
      </c>
      <c r="DT70" s="234">
        <v>8.4285270399100902</v>
      </c>
      <c r="DU70" s="237"/>
      <c r="DV70" s="238">
        <v>55179.24</v>
      </c>
      <c r="DW70" s="238">
        <v>5277.51</v>
      </c>
      <c r="DX70" s="238">
        <v>89549.845182000005</v>
      </c>
      <c r="DY70" s="238">
        <v>18536.650000000001</v>
      </c>
      <c r="DZ70" s="238">
        <v>314533.58452999999</v>
      </c>
      <c r="EB70" s="239">
        <v>45443</v>
      </c>
      <c r="EC70" s="239">
        <v>45471</v>
      </c>
    </row>
    <row r="71" spans="1:133" x14ac:dyDescent="0.35">
      <c r="A71" s="233">
        <v>45471</v>
      </c>
      <c r="B71" s="234">
        <v>3.2358950000000002</v>
      </c>
      <c r="C71" s="234">
        <v>3.75848</v>
      </c>
      <c r="D71" s="234">
        <v>3.235894</v>
      </c>
      <c r="E71" s="234">
        <v>3.996086</v>
      </c>
      <c r="F71" s="234">
        <v>3.4675500000000001</v>
      </c>
      <c r="G71" s="234">
        <v>3.3148249999999999</v>
      </c>
      <c r="H71" s="234">
        <v>3.2478790000000002</v>
      </c>
      <c r="I71" s="234">
        <v>3.3271899999999999</v>
      </c>
      <c r="J71" s="234">
        <v>3.1517680000000001</v>
      </c>
      <c r="K71" s="234">
        <v>3.3464930000000002</v>
      </c>
      <c r="L71" s="234">
        <v>6.0934030000000003</v>
      </c>
      <c r="M71" s="234">
        <v>6.0763249999999998</v>
      </c>
      <c r="N71" s="234">
        <v>7.1246179999999999</v>
      </c>
      <c r="O71" s="234">
        <v>7.5190409999999996</v>
      </c>
      <c r="P71" s="234">
        <v>6.0933989999999998</v>
      </c>
      <c r="Q71" s="234">
        <v>7.7180559999999998</v>
      </c>
      <c r="R71" s="234">
        <v>6.6469329999999998</v>
      </c>
      <c r="S71" s="234">
        <v>6.374225</v>
      </c>
      <c r="T71" s="234">
        <v>6.810676</v>
      </c>
      <c r="U71" s="234">
        <v>6.9599209999999996</v>
      </c>
      <c r="V71" s="234">
        <v>7.1010540000000004</v>
      </c>
      <c r="W71" s="234">
        <v>0.78224199999999999</v>
      </c>
      <c r="X71" s="234">
        <v>0.99077800000000005</v>
      </c>
      <c r="Y71" s="234">
        <v>1.0366310000000001</v>
      </c>
      <c r="Z71" s="234">
        <v>0.78224300000000002</v>
      </c>
      <c r="AA71" s="234">
        <v>0.86372199999999999</v>
      </c>
      <c r="AB71" s="234">
        <v>1.0752349999999999</v>
      </c>
      <c r="AC71" s="234">
        <v>0.88332599999999994</v>
      </c>
      <c r="AD71" s="234">
        <v>0.84753800000000001</v>
      </c>
      <c r="AE71" s="234">
        <v>0.84102900000000003</v>
      </c>
      <c r="AF71" s="234">
        <v>0.96914699999999998</v>
      </c>
      <c r="AG71" s="234">
        <v>0.88657399999999997</v>
      </c>
      <c r="AH71" s="234">
        <v>1.0133970000000001</v>
      </c>
      <c r="AI71" s="234">
        <v>1.1108769999999999</v>
      </c>
      <c r="AJ71" s="234">
        <v>1.0131490000000001</v>
      </c>
      <c r="AK71" s="234">
        <v>1.194709</v>
      </c>
      <c r="AL71" s="234">
        <v>1.0740149999999999</v>
      </c>
      <c r="AM71" s="234">
        <v>1.0132080000000001</v>
      </c>
      <c r="AN71" s="234">
        <v>1.027161</v>
      </c>
      <c r="AO71" s="234">
        <v>1.027304</v>
      </c>
      <c r="AP71" s="234">
        <v>1.631642</v>
      </c>
      <c r="AQ71" s="234">
        <v>1.6561699999999999</v>
      </c>
      <c r="AR71" s="234">
        <v>1.5107349999999999</v>
      </c>
      <c r="AS71" s="234">
        <v>1.6367309999999999</v>
      </c>
      <c r="AT71" s="234">
        <v>1.7044440000000001</v>
      </c>
      <c r="AU71" s="234">
        <v>1.572268</v>
      </c>
      <c r="AV71" s="234">
        <v>1.73705</v>
      </c>
      <c r="AW71" s="234">
        <v>1.6476850000000001</v>
      </c>
      <c r="AX71" s="234">
        <v>1.551158</v>
      </c>
      <c r="AY71" s="234">
        <v>1.744605</v>
      </c>
      <c r="AZ71" s="234">
        <v>1.5915109999999999</v>
      </c>
      <c r="BA71" s="234">
        <v>1.6331150000000001</v>
      </c>
      <c r="BB71" s="235"/>
      <c r="BC71" s="234">
        <v>1.4516500000000001</v>
      </c>
      <c r="BD71" s="234">
        <v>1.5275099999999999</v>
      </c>
      <c r="BE71" s="234">
        <v>1.5560620000000001</v>
      </c>
      <c r="BF71" s="234">
        <v>1.45181</v>
      </c>
      <c r="BG71" s="234">
        <v>1.484202</v>
      </c>
      <c r="BH71" s="234">
        <v>1.516273</v>
      </c>
      <c r="BI71" s="234">
        <v>1.660447</v>
      </c>
      <c r="BJ71" s="234">
        <v>1.4997879999999999</v>
      </c>
      <c r="BK71" s="234">
        <v>1.4929730000000001</v>
      </c>
      <c r="BL71" s="234">
        <v>1.5210509999999999</v>
      </c>
      <c r="BM71" s="234">
        <v>1.549776</v>
      </c>
      <c r="BN71" s="234">
        <v>1.5353920000000001</v>
      </c>
      <c r="BO71" s="234">
        <v>4.1318840000000003</v>
      </c>
      <c r="BP71" s="234">
        <v>4.5418200000000004</v>
      </c>
      <c r="BQ71" s="234">
        <v>4.6198990000000002</v>
      </c>
      <c r="BR71" s="234">
        <v>4.1309839999999998</v>
      </c>
      <c r="BS71" s="234">
        <v>4.2063620000000004</v>
      </c>
      <c r="BT71" s="234">
        <v>4.2797830000000001</v>
      </c>
      <c r="BU71" s="234">
        <v>4.6163420000000004</v>
      </c>
      <c r="BV71" s="234">
        <v>4.2441500000000003</v>
      </c>
      <c r="BW71" s="234">
        <v>4.2419859999999998</v>
      </c>
      <c r="BX71" s="234">
        <v>4.3049330000000001</v>
      </c>
      <c r="BY71" s="234">
        <v>4.3703430000000001</v>
      </c>
      <c r="BZ71" s="234">
        <v>4.3378259999999997</v>
      </c>
      <c r="CA71" s="234">
        <v>0.461955</v>
      </c>
      <c r="CB71" s="234">
        <v>0.46373999999999999</v>
      </c>
      <c r="CC71" s="234">
        <v>0.45829700000000001</v>
      </c>
      <c r="CD71" s="234">
        <v>0.52105100000000004</v>
      </c>
      <c r="CE71" s="234">
        <v>0.50818600000000003</v>
      </c>
      <c r="CF71" s="234">
        <v>0.45985599999999999</v>
      </c>
      <c r="CG71" s="234">
        <v>0.46206599999999998</v>
      </c>
      <c r="CH71" s="234">
        <v>0.45974599999999999</v>
      </c>
      <c r="CI71" s="234">
        <v>1.570446</v>
      </c>
      <c r="CJ71" s="234">
        <v>1.632511</v>
      </c>
      <c r="CK71" s="234">
        <v>1.6641779999999999</v>
      </c>
      <c r="CL71" s="234">
        <v>1.5705960000000001</v>
      </c>
      <c r="CM71" s="234">
        <v>1.6054619999999999</v>
      </c>
      <c r="CN71" s="234">
        <v>1.6410899999999999</v>
      </c>
      <c r="CO71" s="234">
        <v>1.765846</v>
      </c>
      <c r="CP71" s="234">
        <v>1.6230249999999999</v>
      </c>
      <c r="CQ71" s="234">
        <v>1.616544</v>
      </c>
      <c r="CR71" s="234">
        <v>1.646047</v>
      </c>
      <c r="CS71" s="234">
        <v>1.676749</v>
      </c>
      <c r="CT71" s="234">
        <v>1.661154</v>
      </c>
      <c r="CU71" s="234">
        <v>2.789609</v>
      </c>
      <c r="CV71" s="234">
        <v>2.7937180000000001</v>
      </c>
      <c r="CW71" s="234">
        <v>3.3290950000000001</v>
      </c>
      <c r="CX71" s="234">
        <v>2.7654550000000002</v>
      </c>
      <c r="CY71" s="234">
        <v>3.0352169999999998</v>
      </c>
      <c r="CZ71" s="234">
        <v>3.1168140000000002</v>
      </c>
      <c r="DA71" s="234">
        <v>3.4129130000000001</v>
      </c>
      <c r="DB71" s="234">
        <v>2.757962</v>
      </c>
      <c r="DC71" s="234">
        <v>1.183934</v>
      </c>
      <c r="DD71" s="234">
        <v>1.1843699999999999</v>
      </c>
      <c r="DE71" s="234">
        <v>1.1823760000000001</v>
      </c>
      <c r="DF71" s="234">
        <v>1.2433920000000001</v>
      </c>
      <c r="DG71" s="234">
        <v>1.2345950000000001</v>
      </c>
      <c r="DH71" s="234">
        <v>1.1828270000000001</v>
      </c>
      <c r="DI71" s="234">
        <v>1.183943</v>
      </c>
      <c r="DJ71" s="234">
        <v>1.1828259999999999</v>
      </c>
      <c r="DK71" s="236"/>
      <c r="DL71" s="234">
        <v>18.286200000000001</v>
      </c>
      <c r="DM71" s="234">
        <v>121.91152207839181</v>
      </c>
      <c r="DN71" s="234">
        <v>181.83640764204432</v>
      </c>
      <c r="DO71" s="234">
        <v>198.11081980321117</v>
      </c>
      <c r="DP71" s="234">
        <v>8.1259049999999995</v>
      </c>
      <c r="DQ71" s="234">
        <v>214.26647371487422</v>
      </c>
      <c r="DR71" s="234">
        <v>233.4251422873713</v>
      </c>
      <c r="DS71" s="234">
        <v>7.4335403385881564</v>
      </c>
      <c r="DT71" s="234">
        <v>8.5004247168180349</v>
      </c>
      <c r="DU71" s="237"/>
      <c r="DV71" s="238">
        <v>52440.02</v>
      </c>
      <c r="DW71" s="238">
        <v>5460.48</v>
      </c>
      <c r="DX71" s="238">
        <v>99851.429376</v>
      </c>
      <c r="DY71" s="238">
        <v>19682.87</v>
      </c>
      <c r="DZ71" s="238">
        <v>359924.89739399997</v>
      </c>
      <c r="EB71" s="239">
        <v>45471</v>
      </c>
      <c r="EC71" s="239">
        <v>45504</v>
      </c>
    </row>
    <row r="72" spans="1:133" x14ac:dyDescent="0.35">
      <c r="A72" s="233">
        <v>45504</v>
      </c>
      <c r="B72" s="234">
        <v>3.275182</v>
      </c>
      <c r="C72" s="234">
        <v>3.8060070000000001</v>
      </c>
      <c r="D72" s="234">
        <v>3.2751800000000002</v>
      </c>
      <c r="E72" s="234">
        <v>4.0513909999999997</v>
      </c>
      <c r="F72" s="234">
        <v>3.513217</v>
      </c>
      <c r="G72" s="234">
        <v>3.3562349999999999</v>
      </c>
      <c r="H72" s="234">
        <v>3.2873169999999998</v>
      </c>
      <c r="I72" s="234">
        <v>3.3687779999999998</v>
      </c>
      <c r="J72" s="234">
        <v>3.1772339999999999</v>
      </c>
      <c r="K72" s="234">
        <v>3.3750390000000001</v>
      </c>
      <c r="L72" s="234">
        <v>6.1397909999999998</v>
      </c>
      <c r="M72" s="234">
        <v>6.1195649999999997</v>
      </c>
      <c r="N72" s="234">
        <v>7.1822759999999999</v>
      </c>
      <c r="O72" s="234">
        <v>7.5892059999999999</v>
      </c>
      <c r="P72" s="234">
        <v>6.139786</v>
      </c>
      <c r="Q72" s="234">
        <v>7.7916090000000002</v>
      </c>
      <c r="R72" s="234">
        <v>6.7060329999999997</v>
      </c>
      <c r="S72" s="234">
        <v>6.4258100000000002</v>
      </c>
      <c r="T72" s="234">
        <v>6.8679290000000002</v>
      </c>
      <c r="U72" s="234">
        <v>7.0219420000000001</v>
      </c>
      <c r="V72" s="234">
        <v>7.1638169999999999</v>
      </c>
      <c r="W72" s="234">
        <v>0.78795599999999999</v>
      </c>
      <c r="X72" s="234">
        <v>0.99915500000000002</v>
      </c>
      <c r="Y72" s="234">
        <v>1.0456529999999999</v>
      </c>
      <c r="Z72" s="234">
        <v>0.78795599999999999</v>
      </c>
      <c r="AA72" s="234">
        <v>0.87049200000000004</v>
      </c>
      <c r="AB72" s="234">
        <v>1.0856049999999999</v>
      </c>
      <c r="AC72" s="234">
        <v>0.891351</v>
      </c>
      <c r="AD72" s="234">
        <v>0.85453599999999996</v>
      </c>
      <c r="AE72" s="234">
        <v>0.84740499999999996</v>
      </c>
      <c r="AF72" s="234">
        <v>0.97726199999999996</v>
      </c>
      <c r="AG72" s="234">
        <v>0.89378800000000003</v>
      </c>
      <c r="AH72" s="234">
        <v>1.0360689999999999</v>
      </c>
      <c r="AI72" s="234">
        <v>1.135732</v>
      </c>
      <c r="AJ72" s="234">
        <v>1.0358149999999999</v>
      </c>
      <c r="AK72" s="234">
        <v>1.2227030000000001</v>
      </c>
      <c r="AL72" s="234">
        <v>1.0989599999999999</v>
      </c>
      <c r="AM72" s="234">
        <v>1.0358780000000001</v>
      </c>
      <c r="AN72" s="234">
        <v>1.050141</v>
      </c>
      <c r="AO72" s="234">
        <v>1.050303</v>
      </c>
      <c r="AP72" s="234">
        <v>1.6453249999999999</v>
      </c>
      <c r="AQ72" s="234">
        <v>1.671116</v>
      </c>
      <c r="AR72" s="234">
        <v>1.5226090000000001</v>
      </c>
      <c r="AS72" s="234">
        <v>1.6504589999999999</v>
      </c>
      <c r="AT72" s="234">
        <v>1.7191890000000001</v>
      </c>
      <c r="AU72" s="234">
        <v>1.5850409999999999</v>
      </c>
      <c r="AV72" s="234">
        <v>1.753943</v>
      </c>
      <c r="AW72" s="234">
        <v>1.6627339999999999</v>
      </c>
      <c r="AX72" s="234">
        <v>1.5636330000000001</v>
      </c>
      <c r="AY72" s="234">
        <v>1.759978</v>
      </c>
      <c r="AZ72" s="234">
        <v>1.6052360000000001</v>
      </c>
      <c r="BA72" s="234">
        <v>1.647483</v>
      </c>
      <c r="BB72" s="235"/>
      <c r="BC72" s="234">
        <v>1.466761</v>
      </c>
      <c r="BD72" s="234">
        <v>1.544217</v>
      </c>
      <c r="BE72" s="234">
        <v>1.573461</v>
      </c>
      <c r="BF72" s="234">
        <v>1.466923</v>
      </c>
      <c r="BG72" s="234">
        <v>1.5000439999999999</v>
      </c>
      <c r="BH72" s="234">
        <v>1.532842</v>
      </c>
      <c r="BI72" s="234">
        <v>1.6808069999999999</v>
      </c>
      <c r="BJ72" s="234">
        <v>1.515979</v>
      </c>
      <c r="BK72" s="234">
        <v>1.509088</v>
      </c>
      <c r="BL72" s="234">
        <v>1.5378099999999999</v>
      </c>
      <c r="BM72" s="234">
        <v>1.567197</v>
      </c>
      <c r="BN72" s="234">
        <v>1.552487</v>
      </c>
      <c r="BO72" s="234">
        <v>4.1944059999999999</v>
      </c>
      <c r="BP72" s="234">
        <v>4.6124929999999997</v>
      </c>
      <c r="BQ72" s="234">
        <v>4.6929040000000004</v>
      </c>
      <c r="BR72" s="234">
        <v>4.193492</v>
      </c>
      <c r="BS72" s="234">
        <v>4.271115</v>
      </c>
      <c r="BT72" s="234">
        <v>4.3467450000000003</v>
      </c>
      <c r="BU72" s="234">
        <v>4.693835</v>
      </c>
      <c r="BV72" s="234">
        <v>4.310041</v>
      </c>
      <c r="BW72" s="234">
        <v>4.3078430000000001</v>
      </c>
      <c r="BX72" s="234">
        <v>4.3726690000000001</v>
      </c>
      <c r="BY72" s="234">
        <v>4.4400899999999996</v>
      </c>
      <c r="BZ72" s="234">
        <v>4.4065700000000003</v>
      </c>
      <c r="CA72" s="234">
        <v>0.47474300000000003</v>
      </c>
      <c r="CB72" s="234">
        <v>0.47658499999999998</v>
      </c>
      <c r="CC72" s="234">
        <v>0.47098299999999998</v>
      </c>
      <c r="CD72" s="234">
        <v>0.53640500000000002</v>
      </c>
      <c r="CE72" s="234">
        <v>0.52305000000000001</v>
      </c>
      <c r="CF72" s="234">
        <v>0.47259400000000001</v>
      </c>
      <c r="CG72" s="234">
        <v>0.47485699999999997</v>
      </c>
      <c r="CH72" s="234">
        <v>0.47246700000000003</v>
      </c>
      <c r="CI72" s="234">
        <v>1.5904579999999999</v>
      </c>
      <c r="CJ72" s="234">
        <v>1.6539969999999999</v>
      </c>
      <c r="CK72" s="234">
        <v>1.686512</v>
      </c>
      <c r="CL72" s="234">
        <v>1.5906100000000001</v>
      </c>
      <c r="CM72" s="234">
        <v>1.626342</v>
      </c>
      <c r="CN72" s="234">
        <v>1.662863</v>
      </c>
      <c r="CO72" s="234">
        <v>1.7912110000000001</v>
      </c>
      <c r="CP72" s="234">
        <v>1.6443460000000001</v>
      </c>
      <c r="CQ72" s="234">
        <v>1.6377790000000001</v>
      </c>
      <c r="CR72" s="234">
        <v>1.668034</v>
      </c>
      <c r="CS72" s="234">
        <v>1.699503</v>
      </c>
      <c r="CT72" s="234">
        <v>1.6835279999999999</v>
      </c>
      <c r="CU72" s="234">
        <v>2.8194789999999998</v>
      </c>
      <c r="CV72" s="234">
        <v>2.8236720000000002</v>
      </c>
      <c r="CW72" s="234">
        <v>3.373246</v>
      </c>
      <c r="CX72" s="234">
        <v>2.7945509999999998</v>
      </c>
      <c r="CY72" s="234">
        <v>3.071475</v>
      </c>
      <c r="CZ72" s="234">
        <v>3.1550400000000001</v>
      </c>
      <c r="DA72" s="234">
        <v>3.4595210000000001</v>
      </c>
      <c r="DB72" s="234">
        <v>2.7869380000000001</v>
      </c>
      <c r="DC72" s="234">
        <v>1.1931039999999999</v>
      </c>
      <c r="DD72" s="234">
        <v>1.1936070000000001</v>
      </c>
      <c r="DE72" s="234">
        <v>1.1915340000000001</v>
      </c>
      <c r="DF72" s="234">
        <v>1.2552509999999999</v>
      </c>
      <c r="DG72" s="234">
        <v>1.246057</v>
      </c>
      <c r="DH72" s="234">
        <v>1.1920569999999999</v>
      </c>
      <c r="DI72" s="234">
        <v>1.1931130000000001</v>
      </c>
      <c r="DJ72" s="234">
        <v>1.1920489999999999</v>
      </c>
      <c r="DK72" s="236"/>
      <c r="DL72" s="234">
        <v>18.632000000000001</v>
      </c>
      <c r="DM72" s="234">
        <v>122.24230867496452</v>
      </c>
      <c r="DN72" s="234">
        <v>183.3115554990404</v>
      </c>
      <c r="DO72" s="234">
        <v>199.80879462127456</v>
      </c>
      <c r="DP72" s="234">
        <v>8.2047120000000007</v>
      </c>
      <c r="DQ72" s="234">
        <v>216.37789125793955</v>
      </c>
      <c r="DR72" s="234">
        <v>235.8323390672098</v>
      </c>
      <c r="DS72" s="234">
        <v>7.5046111788420076</v>
      </c>
      <c r="DT72" s="234">
        <v>8.5855918887932869</v>
      </c>
      <c r="DU72" s="237"/>
      <c r="DV72" s="238">
        <v>53093.97</v>
      </c>
      <c r="DW72" s="238">
        <v>5522.3</v>
      </c>
      <c r="DX72" s="238">
        <v>102891.49360000002</v>
      </c>
      <c r="DY72" s="238">
        <v>19362.43</v>
      </c>
      <c r="DZ72" s="238">
        <v>360760.79576000001</v>
      </c>
      <c r="EB72" s="239">
        <v>45504</v>
      </c>
      <c r="EC72" s="239">
        <v>45534</v>
      </c>
    </row>
    <row r="73" spans="1:133" x14ac:dyDescent="0.35">
      <c r="A73" s="233">
        <v>45534</v>
      </c>
      <c r="B73" s="234">
        <v>3.3079519999999998</v>
      </c>
      <c r="C73" s="234">
        <v>3.8460380000000001</v>
      </c>
      <c r="D73" s="234">
        <v>3.3079499999999999</v>
      </c>
      <c r="E73" s="234">
        <v>4.0989880000000003</v>
      </c>
      <c r="F73" s="234">
        <v>3.552092</v>
      </c>
      <c r="G73" s="234">
        <v>3.3910170000000002</v>
      </c>
      <c r="H73" s="234">
        <v>3.3202150000000001</v>
      </c>
      <c r="I73" s="234">
        <v>3.403715</v>
      </c>
      <c r="J73" s="234">
        <v>3.1975799999999999</v>
      </c>
      <c r="K73" s="234">
        <v>3.3979509999999999</v>
      </c>
      <c r="L73" s="234">
        <v>6.1890309999999999</v>
      </c>
      <c r="M73" s="234">
        <v>6.1654999999999998</v>
      </c>
      <c r="N73" s="234">
        <v>7.2434459999999996</v>
      </c>
      <c r="O73" s="234">
        <v>7.6635520000000001</v>
      </c>
      <c r="P73" s="234">
        <v>6.1890260000000001</v>
      </c>
      <c r="Q73" s="234">
        <v>7.8695339999999998</v>
      </c>
      <c r="R73" s="234">
        <v>6.7686739999999999</v>
      </c>
      <c r="S73" s="234">
        <v>6.480537</v>
      </c>
      <c r="T73" s="234">
        <v>6.9286409999999998</v>
      </c>
      <c r="U73" s="234">
        <v>7.0876780000000004</v>
      </c>
      <c r="V73" s="234">
        <v>7.2303459999999999</v>
      </c>
      <c r="W73" s="234">
        <v>0.79382600000000003</v>
      </c>
      <c r="X73" s="234">
        <v>1.0077910000000001</v>
      </c>
      <c r="Y73" s="234">
        <v>1.054959</v>
      </c>
      <c r="Z73" s="234">
        <v>0.79382699999999995</v>
      </c>
      <c r="AA73" s="234">
        <v>0.87745700000000004</v>
      </c>
      <c r="AB73" s="234">
        <v>1.096322</v>
      </c>
      <c r="AC73" s="234">
        <v>0.89963199999999999</v>
      </c>
      <c r="AD73" s="234">
        <v>0.86174899999999999</v>
      </c>
      <c r="AE73" s="234">
        <v>0.85396000000000005</v>
      </c>
      <c r="AF73" s="234">
        <v>0.98562300000000003</v>
      </c>
      <c r="AG73" s="234">
        <v>0.90122199999999997</v>
      </c>
      <c r="AH73" s="234">
        <v>1.098821</v>
      </c>
      <c r="AI73" s="234">
        <v>1.204556</v>
      </c>
      <c r="AJ73" s="234">
        <v>1.098552</v>
      </c>
      <c r="AK73" s="234">
        <v>1.2981720000000001</v>
      </c>
      <c r="AL73" s="234">
        <v>1.166528</v>
      </c>
      <c r="AM73" s="234">
        <v>1.0986419999999999</v>
      </c>
      <c r="AN73" s="234">
        <v>1.113745</v>
      </c>
      <c r="AO73" s="234">
        <v>1.113936</v>
      </c>
      <c r="AP73" s="234">
        <v>1.6594709999999999</v>
      </c>
      <c r="AQ73" s="234">
        <v>1.686599</v>
      </c>
      <c r="AR73" s="234">
        <v>1.53487</v>
      </c>
      <c r="AS73" s="234">
        <v>1.66465</v>
      </c>
      <c r="AT73" s="234">
        <v>1.7344390000000001</v>
      </c>
      <c r="AU73" s="234">
        <v>1.598238</v>
      </c>
      <c r="AV73" s="234">
        <v>1.771466</v>
      </c>
      <c r="AW73" s="234">
        <v>1.678312</v>
      </c>
      <c r="AX73" s="234">
        <v>1.576546</v>
      </c>
      <c r="AY73" s="234">
        <v>1.775909</v>
      </c>
      <c r="AZ73" s="234">
        <v>1.6194310000000001</v>
      </c>
      <c r="BA73" s="234">
        <v>1.6623730000000001</v>
      </c>
      <c r="BB73" s="235"/>
      <c r="BC73" s="234">
        <v>1.509433</v>
      </c>
      <c r="BD73" s="234">
        <v>1.589969</v>
      </c>
      <c r="BE73" s="234">
        <v>1.6204860000000001</v>
      </c>
      <c r="BF73" s="234">
        <v>1.5096000000000001</v>
      </c>
      <c r="BG73" s="234">
        <v>1.5441009999999999</v>
      </c>
      <c r="BH73" s="234">
        <v>1.578271</v>
      </c>
      <c r="BI73" s="234">
        <v>1.732977</v>
      </c>
      <c r="BJ73" s="234">
        <v>1.5606979999999999</v>
      </c>
      <c r="BK73" s="234">
        <v>1.5536019999999999</v>
      </c>
      <c r="BL73" s="234">
        <v>1.5835319999999999</v>
      </c>
      <c r="BM73" s="234">
        <v>1.61416</v>
      </c>
      <c r="BN73" s="234">
        <v>1.5988230000000001</v>
      </c>
      <c r="BO73" s="234">
        <v>4.4520210000000002</v>
      </c>
      <c r="BP73" s="234">
        <v>4.8977329999999997</v>
      </c>
      <c r="BQ73" s="234">
        <v>4.9843599999999997</v>
      </c>
      <c r="BR73" s="234">
        <v>4.4510509999999996</v>
      </c>
      <c r="BS73" s="234">
        <v>4.5346489999999999</v>
      </c>
      <c r="BT73" s="234">
        <v>4.6161269999999996</v>
      </c>
      <c r="BU73" s="234">
        <v>4.9904909999999996</v>
      </c>
      <c r="BV73" s="234">
        <v>4.5765859999999998</v>
      </c>
      <c r="BW73" s="234">
        <v>4.5742510000000003</v>
      </c>
      <c r="BX73" s="234">
        <v>4.6440549999999998</v>
      </c>
      <c r="BY73" s="234">
        <v>4.7167519999999996</v>
      </c>
      <c r="BZ73" s="234">
        <v>4.6806200000000002</v>
      </c>
      <c r="CA73" s="234">
        <v>0.51080800000000004</v>
      </c>
      <c r="CB73" s="234">
        <v>0.512799</v>
      </c>
      <c r="CC73" s="234">
        <v>0.50676399999999999</v>
      </c>
      <c r="CD73" s="234">
        <v>0.57818999999999998</v>
      </c>
      <c r="CE73" s="234">
        <v>0.56367199999999995</v>
      </c>
      <c r="CF73" s="234">
        <v>0.50850399999999996</v>
      </c>
      <c r="CG73" s="234">
        <v>0.51093100000000002</v>
      </c>
      <c r="CH73" s="234">
        <v>0.50836999999999999</v>
      </c>
      <c r="CI73" s="234">
        <v>1.657915</v>
      </c>
      <c r="CJ73" s="234">
        <v>1.724845</v>
      </c>
      <c r="CK73" s="234">
        <v>1.75922</v>
      </c>
      <c r="CL73" s="234">
        <v>1.6580729999999999</v>
      </c>
      <c r="CM73" s="234">
        <v>1.695773</v>
      </c>
      <c r="CN73" s="234">
        <v>1.734316</v>
      </c>
      <c r="CO73" s="234">
        <v>1.8702639999999999</v>
      </c>
      <c r="CP73" s="234">
        <v>1.714774</v>
      </c>
      <c r="CQ73" s="234">
        <v>1.7079249999999999</v>
      </c>
      <c r="CR73" s="234">
        <v>1.7398690000000001</v>
      </c>
      <c r="CS73" s="234">
        <v>1.773085</v>
      </c>
      <c r="CT73" s="234">
        <v>1.7562310000000001</v>
      </c>
      <c r="CU73" s="234">
        <v>2.8060019999999999</v>
      </c>
      <c r="CV73" s="234">
        <v>2.8102269999999998</v>
      </c>
      <c r="CW73" s="234">
        <v>3.366063</v>
      </c>
      <c r="CX73" s="234">
        <v>2.7808139999999999</v>
      </c>
      <c r="CY73" s="234">
        <v>3.0606779999999998</v>
      </c>
      <c r="CZ73" s="234">
        <v>3.145127</v>
      </c>
      <c r="DA73" s="234">
        <v>3.4533450000000001</v>
      </c>
      <c r="DB73" s="234">
        <v>2.7732049999999999</v>
      </c>
      <c r="DC73" s="234">
        <v>1.2658339999999999</v>
      </c>
      <c r="DD73" s="234">
        <v>1.2664439999999999</v>
      </c>
      <c r="DE73" s="234">
        <v>1.2641659999999999</v>
      </c>
      <c r="DF73" s="234">
        <v>1.334217</v>
      </c>
      <c r="DG73" s="234">
        <v>1.3240970000000001</v>
      </c>
      <c r="DH73" s="234">
        <v>1.2647980000000001</v>
      </c>
      <c r="DI73" s="234">
        <v>1.265844</v>
      </c>
      <c r="DJ73" s="234">
        <v>1.264786</v>
      </c>
      <c r="DK73" s="236"/>
      <c r="DL73" s="234">
        <v>19.7027</v>
      </c>
      <c r="DM73" s="234">
        <v>122.5387462735013</v>
      </c>
      <c r="DN73" s="234">
        <v>184.66042302825417</v>
      </c>
      <c r="DO73" s="234">
        <v>201.362307999455</v>
      </c>
      <c r="DP73" s="234">
        <v>8.2515219999999996</v>
      </c>
      <c r="DQ73" s="234">
        <v>218.28562299919705</v>
      </c>
      <c r="DR73" s="234">
        <v>238.00985766459706</v>
      </c>
      <c r="DS73" s="234">
        <v>7.5684160084687875</v>
      </c>
      <c r="DT73" s="234">
        <v>8.6621646364514628</v>
      </c>
      <c r="DU73" s="237"/>
      <c r="DV73" s="238">
        <v>51985.87</v>
      </c>
      <c r="DW73" s="238">
        <v>5648.4</v>
      </c>
      <c r="DX73" s="238">
        <v>111288.73067999999</v>
      </c>
      <c r="DY73" s="238">
        <v>19574.64</v>
      </c>
      <c r="DZ73" s="238">
        <v>385673.25952799997</v>
      </c>
      <c r="EB73" s="239">
        <v>45534</v>
      </c>
      <c r="EC73" s="239">
        <v>45565</v>
      </c>
    </row>
    <row r="74" spans="1:133" x14ac:dyDescent="0.35">
      <c r="A74" s="233">
        <v>45565</v>
      </c>
      <c r="B74" s="234">
        <v>3.3668610000000001</v>
      </c>
      <c r="C74" s="234">
        <v>3.9163619999999999</v>
      </c>
      <c r="D74" s="234">
        <v>3.3668589999999998</v>
      </c>
      <c r="E74" s="234">
        <v>4.1787020000000004</v>
      </c>
      <c r="F74" s="234">
        <v>3.6189049999999998</v>
      </c>
      <c r="G74" s="234">
        <v>3.4525329999999999</v>
      </c>
      <c r="H74" s="234">
        <v>3.3793419999999998</v>
      </c>
      <c r="I74" s="234">
        <v>3.4654609999999999</v>
      </c>
      <c r="J74" s="234">
        <v>3.2145739999999998</v>
      </c>
      <c r="K74" s="234">
        <v>3.4174709999999999</v>
      </c>
      <c r="L74" s="234">
        <v>6.2347099999999998</v>
      </c>
      <c r="M74" s="234">
        <v>6.2079969999999998</v>
      </c>
      <c r="N74" s="234">
        <v>7.3002919999999998</v>
      </c>
      <c r="O74" s="234">
        <v>7.7328799999999998</v>
      </c>
      <c r="P74" s="234">
        <v>6.2347049999999999</v>
      </c>
      <c r="Q74" s="234">
        <v>7.9422360000000003</v>
      </c>
      <c r="R74" s="234">
        <v>6.827013</v>
      </c>
      <c r="S74" s="234">
        <v>6.531396</v>
      </c>
      <c r="T74" s="234">
        <v>6.9851049999999999</v>
      </c>
      <c r="U74" s="234">
        <v>7.1489029999999998</v>
      </c>
      <c r="V74" s="234">
        <v>7.2923439999999999</v>
      </c>
      <c r="W74" s="234">
        <v>0.79926299999999995</v>
      </c>
      <c r="X74" s="234">
        <v>1.0158240000000001</v>
      </c>
      <c r="Y74" s="234">
        <v>1.06362</v>
      </c>
      <c r="Z74" s="234">
        <v>0.79926299999999995</v>
      </c>
      <c r="AA74" s="234">
        <v>0.88392000000000004</v>
      </c>
      <c r="AB74" s="234">
        <v>1.106322</v>
      </c>
      <c r="AC74" s="234">
        <v>0.90734400000000004</v>
      </c>
      <c r="AD74" s="234">
        <v>0.86846000000000001</v>
      </c>
      <c r="AE74" s="234">
        <v>0.86003600000000002</v>
      </c>
      <c r="AF74" s="234">
        <v>0.99339500000000003</v>
      </c>
      <c r="AG74" s="234">
        <v>0.90813500000000003</v>
      </c>
      <c r="AH74" s="234">
        <v>1.101874</v>
      </c>
      <c r="AI74" s="234">
        <v>1.2079789999999999</v>
      </c>
      <c r="AJ74" s="234">
        <v>1.1016030000000001</v>
      </c>
      <c r="AK74" s="234">
        <v>1.3031550000000001</v>
      </c>
      <c r="AL74" s="234">
        <v>1.1707179999999999</v>
      </c>
      <c r="AM74" s="234">
        <v>1.101726</v>
      </c>
      <c r="AN74" s="234">
        <v>1.1168400000000001</v>
      </c>
      <c r="AO74" s="234">
        <v>1.1170469999999999</v>
      </c>
      <c r="AP74" s="234">
        <v>1.672668</v>
      </c>
      <c r="AQ74" s="234">
        <v>1.701074</v>
      </c>
      <c r="AR74" s="234">
        <v>1.546292</v>
      </c>
      <c r="AS74" s="234">
        <v>1.6778900000000001</v>
      </c>
      <c r="AT74" s="234">
        <v>1.748677</v>
      </c>
      <c r="AU74" s="234">
        <v>1.610541</v>
      </c>
      <c r="AV74" s="234">
        <v>1.787868</v>
      </c>
      <c r="AW74" s="234">
        <v>1.692874</v>
      </c>
      <c r="AX74" s="234">
        <v>1.588595</v>
      </c>
      <c r="AY74" s="234">
        <v>1.7908040000000001</v>
      </c>
      <c r="AZ74" s="234">
        <v>1.632682</v>
      </c>
      <c r="BA74" s="234">
        <v>1.676291</v>
      </c>
      <c r="BB74" s="235"/>
      <c r="BC74" s="234">
        <v>1.531155</v>
      </c>
      <c r="BD74" s="234">
        <v>1.6136029999999999</v>
      </c>
      <c r="BE74" s="234">
        <v>1.6449579999999999</v>
      </c>
      <c r="BF74" s="234">
        <v>1.5313239999999999</v>
      </c>
      <c r="BG74" s="234">
        <v>1.5667169999999999</v>
      </c>
      <c r="BH74" s="234">
        <v>1.6017749999999999</v>
      </c>
      <c r="BI74" s="234">
        <v>1.761028</v>
      </c>
      <c r="BJ74" s="234">
        <v>1.5837410000000001</v>
      </c>
      <c r="BK74" s="234">
        <v>1.5765389999999999</v>
      </c>
      <c r="BL74" s="234">
        <v>1.607254</v>
      </c>
      <c r="BM74" s="234">
        <v>1.63869</v>
      </c>
      <c r="BN74" s="234">
        <v>1.6229359999999999</v>
      </c>
      <c r="BO74" s="234">
        <v>4.514945</v>
      </c>
      <c r="BP74" s="234">
        <v>4.9687299999999999</v>
      </c>
      <c r="BQ74" s="234">
        <v>5.0578240000000001</v>
      </c>
      <c r="BR74" s="234">
        <v>4.51396</v>
      </c>
      <c r="BS74" s="234">
        <v>4.5998859999999997</v>
      </c>
      <c r="BT74" s="234">
        <v>4.6836580000000003</v>
      </c>
      <c r="BU74" s="234">
        <v>5.0689830000000002</v>
      </c>
      <c r="BV74" s="234">
        <v>4.6430049999999996</v>
      </c>
      <c r="BW74" s="234">
        <v>4.6406359999999998</v>
      </c>
      <c r="BX74" s="234">
        <v>4.7123749999999998</v>
      </c>
      <c r="BY74" s="234">
        <v>4.7871769999999998</v>
      </c>
      <c r="BZ74" s="234">
        <v>4.7499890000000002</v>
      </c>
      <c r="CA74" s="234">
        <v>0.51971699999999998</v>
      </c>
      <c r="CB74" s="234">
        <v>0.52175199999999999</v>
      </c>
      <c r="CC74" s="234">
        <v>0.51546700000000001</v>
      </c>
      <c r="CD74" s="234">
        <v>0.58926299999999998</v>
      </c>
      <c r="CE74" s="234">
        <v>0.57419900000000001</v>
      </c>
      <c r="CF74" s="234">
        <v>0.51724599999999998</v>
      </c>
      <c r="CG74" s="234">
        <v>0.51984200000000003</v>
      </c>
      <c r="CH74" s="234">
        <v>0.51711499999999999</v>
      </c>
      <c r="CI74" s="234">
        <v>1.6844410000000001</v>
      </c>
      <c r="CJ74" s="234">
        <v>1.753091</v>
      </c>
      <c r="CK74" s="234">
        <v>1.788478</v>
      </c>
      <c r="CL74" s="234">
        <v>1.6846019999999999</v>
      </c>
      <c r="CM74" s="234">
        <v>1.723336</v>
      </c>
      <c r="CN74" s="234">
        <v>1.7629459999999999</v>
      </c>
      <c r="CO74" s="234">
        <v>1.9031260000000001</v>
      </c>
      <c r="CP74" s="234">
        <v>1.742864</v>
      </c>
      <c r="CQ74" s="234">
        <v>1.7359020000000001</v>
      </c>
      <c r="CR74" s="234">
        <v>1.768743</v>
      </c>
      <c r="CS74" s="234">
        <v>1.802889</v>
      </c>
      <c r="CT74" s="234">
        <v>1.785561</v>
      </c>
      <c r="CU74" s="234">
        <v>2.8380540000000001</v>
      </c>
      <c r="CV74" s="234">
        <v>2.8423500000000002</v>
      </c>
      <c r="CW74" s="234">
        <v>3.4132479999999998</v>
      </c>
      <c r="CX74" s="234">
        <v>2.812408</v>
      </c>
      <c r="CY74" s="234">
        <v>3.0993170000000001</v>
      </c>
      <c r="CZ74" s="234">
        <v>3.1861660000000001</v>
      </c>
      <c r="DA74" s="234">
        <v>3.502618</v>
      </c>
      <c r="DB74" s="234">
        <v>2.8046989999999998</v>
      </c>
      <c r="DC74" s="234">
        <v>1.2905949999999999</v>
      </c>
      <c r="DD74" s="234">
        <v>1.291283</v>
      </c>
      <c r="DE74" s="234">
        <v>1.2887489999999999</v>
      </c>
      <c r="DF74" s="234">
        <v>1.3626549999999999</v>
      </c>
      <c r="DG74" s="234">
        <v>1.351839</v>
      </c>
      <c r="DH74" s="234">
        <v>1.2894639999999999</v>
      </c>
      <c r="DI74" s="234">
        <v>1.290605</v>
      </c>
      <c r="DJ74" s="234">
        <v>1.2894490000000001</v>
      </c>
      <c r="DK74" s="236"/>
      <c r="DL74" s="234">
        <v>19.6921</v>
      </c>
      <c r="DM74" s="234">
        <v>122.83947677998086</v>
      </c>
      <c r="DN74" s="234">
        <v>186.03111631274334</v>
      </c>
      <c r="DO74" s="234">
        <v>202.94367332494403</v>
      </c>
      <c r="DP74" s="234">
        <v>8.2471669999999992</v>
      </c>
      <c r="DQ74" s="234">
        <v>220.24989043171342</v>
      </c>
      <c r="DR74" s="234">
        <v>240.25409228082614</v>
      </c>
      <c r="DS74" s="234">
        <v>7.6331811517079249</v>
      </c>
      <c r="DT74" s="234">
        <v>8.7400188488176251</v>
      </c>
      <c r="DU74" s="237"/>
      <c r="DV74" s="238">
        <v>52477.3</v>
      </c>
      <c r="DW74" s="238">
        <v>5762.48</v>
      </c>
      <c r="DX74" s="238">
        <v>113475.33240799999</v>
      </c>
      <c r="DY74" s="238">
        <v>20060.689999999999</v>
      </c>
      <c r="DZ74" s="238">
        <v>395037.113549</v>
      </c>
      <c r="EB74" s="239">
        <v>45565</v>
      </c>
      <c r="EC74" s="239">
        <v>45596</v>
      </c>
    </row>
    <row r="75" spans="1:133" x14ac:dyDescent="0.35">
      <c r="A75" s="233">
        <v>45596</v>
      </c>
      <c r="B75" s="234">
        <v>3.3278490000000001</v>
      </c>
      <c r="C75" s="234">
        <v>3.8728129999999998</v>
      </c>
      <c r="D75" s="234">
        <v>3.3278470000000002</v>
      </c>
      <c r="E75" s="234">
        <v>4.1369540000000002</v>
      </c>
      <c r="F75" s="234">
        <v>3.5804939999999998</v>
      </c>
      <c r="G75" s="234">
        <v>3.4136380000000002</v>
      </c>
      <c r="H75" s="234">
        <v>3.3401909999999999</v>
      </c>
      <c r="I75" s="234">
        <v>3.4264260000000002</v>
      </c>
      <c r="J75" s="234">
        <v>3.2309670000000001</v>
      </c>
      <c r="K75" s="234">
        <v>3.4363039999999998</v>
      </c>
      <c r="L75" s="234">
        <v>6.2755650000000003</v>
      </c>
      <c r="M75" s="234">
        <v>6.2457050000000001</v>
      </c>
      <c r="N75" s="234">
        <v>7.3515610000000002</v>
      </c>
      <c r="O75" s="234">
        <v>7.7964479999999998</v>
      </c>
      <c r="P75" s="234">
        <v>6.2755609999999997</v>
      </c>
      <c r="Q75" s="234">
        <v>8.0090479999999999</v>
      </c>
      <c r="R75" s="234">
        <v>6.8802029999999998</v>
      </c>
      <c r="S75" s="234">
        <v>6.5772649999999997</v>
      </c>
      <c r="T75" s="234">
        <v>7.0362479999999996</v>
      </c>
      <c r="U75" s="234">
        <v>7.204739</v>
      </c>
      <c r="V75" s="234">
        <v>7.3488100000000003</v>
      </c>
      <c r="W75" s="234">
        <v>0.80458200000000002</v>
      </c>
      <c r="X75" s="234">
        <v>1.023722</v>
      </c>
      <c r="Y75" s="234">
        <v>1.0721449999999999</v>
      </c>
      <c r="Z75" s="234">
        <v>0.80458200000000002</v>
      </c>
      <c r="AA75" s="234">
        <v>0.89026000000000005</v>
      </c>
      <c r="AB75" s="234">
        <v>1.1161970000000001</v>
      </c>
      <c r="AC75" s="234">
        <v>0.91494799999999998</v>
      </c>
      <c r="AD75" s="234">
        <v>0.87505299999999997</v>
      </c>
      <c r="AE75" s="234">
        <v>0.86599099999999996</v>
      </c>
      <c r="AF75" s="234">
        <v>1.001036</v>
      </c>
      <c r="AG75" s="234">
        <v>0.91492099999999998</v>
      </c>
      <c r="AH75" s="234">
        <v>1.120293</v>
      </c>
      <c r="AI75" s="234">
        <v>1.2282679999999999</v>
      </c>
      <c r="AJ75" s="234">
        <v>1.120018</v>
      </c>
      <c r="AK75" s="234">
        <v>1.326357</v>
      </c>
      <c r="AL75" s="234">
        <v>1.1912560000000001</v>
      </c>
      <c r="AM75" s="234">
        <v>1.120177</v>
      </c>
      <c r="AN75" s="234">
        <v>1.13551</v>
      </c>
      <c r="AO75" s="234">
        <v>1.135734</v>
      </c>
      <c r="AP75" s="234">
        <v>1.685001</v>
      </c>
      <c r="AQ75" s="234">
        <v>1.714688</v>
      </c>
      <c r="AR75" s="234">
        <v>1.5569029999999999</v>
      </c>
      <c r="AS75" s="234">
        <v>1.6902649999999999</v>
      </c>
      <c r="AT75" s="234">
        <v>1.7620199999999999</v>
      </c>
      <c r="AU75" s="234">
        <v>1.622007</v>
      </c>
      <c r="AV75" s="234">
        <v>1.8033920000000001</v>
      </c>
      <c r="AW75" s="234">
        <v>1.7065809999999999</v>
      </c>
      <c r="AX75" s="234">
        <v>1.5998110000000001</v>
      </c>
      <c r="AY75" s="234">
        <v>1.8047789999999999</v>
      </c>
      <c r="AZ75" s="234">
        <v>1.6450959999999999</v>
      </c>
      <c r="BA75" s="234">
        <v>1.6893499999999999</v>
      </c>
      <c r="BB75" s="235"/>
      <c r="BC75" s="234">
        <v>1.5291380000000001</v>
      </c>
      <c r="BD75" s="234">
        <v>1.6122879999999999</v>
      </c>
      <c r="BE75" s="234">
        <v>1.644004</v>
      </c>
      <c r="BF75" s="234">
        <v>1.529307</v>
      </c>
      <c r="BG75" s="234">
        <v>1.565048</v>
      </c>
      <c r="BH75" s="234">
        <v>1.6004590000000001</v>
      </c>
      <c r="BI75" s="234">
        <v>1.76183</v>
      </c>
      <c r="BJ75" s="234">
        <v>1.5822400000000001</v>
      </c>
      <c r="BK75" s="234">
        <v>1.575043</v>
      </c>
      <c r="BL75" s="234">
        <v>1.6060719999999999</v>
      </c>
      <c r="BM75" s="234">
        <v>1.6378349999999999</v>
      </c>
      <c r="BN75" s="234">
        <v>1.6219129999999999</v>
      </c>
      <c r="BO75" s="234">
        <v>4.5496970000000001</v>
      </c>
      <c r="BP75" s="234">
        <v>5.0089940000000004</v>
      </c>
      <c r="BQ75" s="234">
        <v>5.1000370000000004</v>
      </c>
      <c r="BR75" s="234">
        <v>4.548705</v>
      </c>
      <c r="BS75" s="234">
        <v>4.6364520000000002</v>
      </c>
      <c r="BT75" s="234">
        <v>4.7220259999999996</v>
      </c>
      <c r="BU75" s="234">
        <v>5.1160600000000001</v>
      </c>
      <c r="BV75" s="234">
        <v>4.6804990000000002</v>
      </c>
      <c r="BW75" s="234">
        <v>4.6781100000000002</v>
      </c>
      <c r="BX75" s="234">
        <v>4.7513709999999998</v>
      </c>
      <c r="BY75" s="234">
        <v>4.8278309999999998</v>
      </c>
      <c r="BZ75" s="234">
        <v>4.7898120000000004</v>
      </c>
      <c r="CA75" s="234">
        <v>0.522312</v>
      </c>
      <c r="CB75" s="234">
        <v>0.52436499999999997</v>
      </c>
      <c r="CC75" s="234">
        <v>0.51803999999999994</v>
      </c>
      <c r="CD75" s="234">
        <v>0.59320099999999998</v>
      </c>
      <c r="CE75" s="234">
        <v>0.57791800000000004</v>
      </c>
      <c r="CF75" s="234">
        <v>0.51983699999999999</v>
      </c>
      <c r="CG75" s="234">
        <v>0.52243700000000004</v>
      </c>
      <c r="CH75" s="234">
        <v>0.51970700000000003</v>
      </c>
      <c r="CI75" s="234">
        <v>1.6823330000000001</v>
      </c>
      <c r="CJ75" s="234">
        <v>1.7516080000000001</v>
      </c>
      <c r="CK75" s="234">
        <v>1.7874190000000001</v>
      </c>
      <c r="CL75" s="234">
        <v>1.6824939999999999</v>
      </c>
      <c r="CM75" s="234">
        <v>1.721611</v>
      </c>
      <c r="CN75" s="234">
        <v>1.7616229999999999</v>
      </c>
      <c r="CO75" s="234">
        <v>1.903691</v>
      </c>
      <c r="CP75" s="234">
        <v>1.7413380000000001</v>
      </c>
      <c r="CQ75" s="234">
        <v>1.734381</v>
      </c>
      <c r="CR75" s="234">
        <v>1.767568</v>
      </c>
      <c r="CS75" s="234">
        <v>1.8020700000000001</v>
      </c>
      <c r="CT75" s="234">
        <v>1.784559</v>
      </c>
      <c r="CU75" s="234">
        <v>2.7197809999999998</v>
      </c>
      <c r="CV75" s="234">
        <v>2.7239200000000001</v>
      </c>
      <c r="CW75" s="234">
        <v>3.2790870000000001</v>
      </c>
      <c r="CX75" s="234">
        <v>2.6947809999999999</v>
      </c>
      <c r="CY75" s="234">
        <v>2.9736739999999999</v>
      </c>
      <c r="CZ75" s="234">
        <v>3.0580159999999998</v>
      </c>
      <c r="DA75" s="234">
        <v>3.3660939999999999</v>
      </c>
      <c r="DB75" s="234">
        <v>2.6873830000000001</v>
      </c>
      <c r="DC75" s="234">
        <v>1.3027420000000001</v>
      </c>
      <c r="DD75" s="234">
        <v>1.3035220000000001</v>
      </c>
      <c r="DE75" s="234">
        <v>1.3008789999999999</v>
      </c>
      <c r="DF75" s="234">
        <v>1.3778539999999999</v>
      </c>
      <c r="DG75" s="234">
        <v>1.366579</v>
      </c>
      <c r="DH75" s="234">
        <v>1.301679</v>
      </c>
      <c r="DI75" s="234">
        <v>1.3027519999999999</v>
      </c>
      <c r="DJ75" s="234">
        <v>1.3016719999999999</v>
      </c>
      <c r="DK75" s="236"/>
      <c r="DL75" s="234">
        <v>20.010899999999999</v>
      </c>
      <c r="DM75" s="234">
        <v>123.13459862294476</v>
      </c>
      <c r="DN75" s="234">
        <v>187.38955686430708</v>
      </c>
      <c r="DO75" s="234">
        <v>204.51299165217176</v>
      </c>
      <c r="DP75" s="234">
        <v>8.2638929999999995</v>
      </c>
      <c r="DQ75" s="234">
        <v>222.1920050211202</v>
      </c>
      <c r="DR75" s="234">
        <v>242.47604221093664</v>
      </c>
      <c r="DS75" s="234">
        <v>7.6972154843239835</v>
      </c>
      <c r="DT75" s="234">
        <v>8.8171014450547727</v>
      </c>
      <c r="DU75" s="237"/>
      <c r="DV75" s="238">
        <v>50661.05</v>
      </c>
      <c r="DW75" s="238">
        <v>5705.45</v>
      </c>
      <c r="DX75" s="238">
        <v>114171.189405</v>
      </c>
      <c r="DY75" s="238">
        <v>19890.419999999998</v>
      </c>
      <c r="DZ75" s="238">
        <v>398025.20557799994</v>
      </c>
      <c r="EB75" s="239">
        <v>45596</v>
      </c>
      <c r="EC75" s="239">
        <v>45625</v>
      </c>
    </row>
    <row r="76" spans="1:133" x14ac:dyDescent="0.35">
      <c r="A76" s="233">
        <v>45625</v>
      </c>
      <c r="B76" s="234">
        <v>3.3640129999999999</v>
      </c>
      <c r="C76" s="234">
        <v>3.9168180000000001</v>
      </c>
      <c r="D76" s="234">
        <v>3.3640110000000001</v>
      </c>
      <c r="E76" s="234">
        <v>4.1888949999999996</v>
      </c>
      <c r="F76" s="234">
        <v>3.6230880000000001</v>
      </c>
      <c r="G76" s="234">
        <v>3.4518979999999999</v>
      </c>
      <c r="H76" s="234">
        <v>3.3764949999999998</v>
      </c>
      <c r="I76" s="234">
        <v>3.4648289999999999</v>
      </c>
      <c r="J76" s="234">
        <v>3.2471960000000002</v>
      </c>
      <c r="K76" s="234">
        <v>3.4550329999999998</v>
      </c>
      <c r="L76" s="234">
        <v>6.3218370000000004</v>
      </c>
      <c r="M76" s="234">
        <v>6.2885799999999996</v>
      </c>
      <c r="N76" s="234">
        <v>7.4093229999999997</v>
      </c>
      <c r="O76" s="234">
        <v>7.8673630000000001</v>
      </c>
      <c r="P76" s="234">
        <v>6.3218319999999997</v>
      </c>
      <c r="Q76" s="234">
        <v>8.0834849999999996</v>
      </c>
      <c r="R76" s="234">
        <v>6.9397450000000003</v>
      </c>
      <c r="S76" s="234">
        <v>6.6289429999999996</v>
      </c>
      <c r="T76" s="234">
        <v>7.0937229999999998</v>
      </c>
      <c r="U76" s="234">
        <v>7.2672330000000001</v>
      </c>
      <c r="V76" s="234">
        <v>7.411956</v>
      </c>
      <c r="W76" s="234">
        <v>0.81005400000000005</v>
      </c>
      <c r="X76" s="234">
        <v>1.031863</v>
      </c>
      <c r="Y76" s="234">
        <v>1.0809359999999999</v>
      </c>
      <c r="Z76" s="234">
        <v>0.81005499999999997</v>
      </c>
      <c r="AA76" s="234">
        <v>0.896791</v>
      </c>
      <c r="AB76" s="234">
        <v>1.1264000000000001</v>
      </c>
      <c r="AC76" s="234">
        <v>0.92280200000000001</v>
      </c>
      <c r="AD76" s="234">
        <v>0.88183800000000001</v>
      </c>
      <c r="AE76" s="234">
        <v>0.87212000000000001</v>
      </c>
      <c r="AF76" s="234">
        <v>1.0089159999999999</v>
      </c>
      <c r="AG76" s="234">
        <v>0.92190300000000003</v>
      </c>
      <c r="AH76" s="234">
        <v>1.1428659999999999</v>
      </c>
      <c r="AI76" s="234">
        <v>1.253139</v>
      </c>
      <c r="AJ76" s="234">
        <v>1.142585</v>
      </c>
      <c r="AK76" s="234">
        <v>1.3546069999999999</v>
      </c>
      <c r="AL76" s="234">
        <v>1.2162809999999999</v>
      </c>
      <c r="AM76" s="234">
        <v>1.142784</v>
      </c>
      <c r="AN76" s="234">
        <v>1.1583909999999999</v>
      </c>
      <c r="AO76" s="234">
        <v>1.1586479999999999</v>
      </c>
      <c r="AP76" s="234">
        <v>1.69842</v>
      </c>
      <c r="AQ76" s="234">
        <v>1.7294609999999999</v>
      </c>
      <c r="AR76" s="234">
        <v>1.568479</v>
      </c>
      <c r="AS76" s="234">
        <v>1.703727</v>
      </c>
      <c r="AT76" s="234">
        <v>1.776519</v>
      </c>
      <c r="AU76" s="234">
        <v>1.6344959999999999</v>
      </c>
      <c r="AV76" s="234">
        <v>1.820192</v>
      </c>
      <c r="AW76" s="234">
        <v>1.7214480000000001</v>
      </c>
      <c r="AX76" s="234">
        <v>1.6120380000000001</v>
      </c>
      <c r="AY76" s="234">
        <v>1.81996</v>
      </c>
      <c r="AZ76" s="234">
        <v>1.658588</v>
      </c>
      <c r="BA76" s="234">
        <v>1.7035370000000001</v>
      </c>
      <c r="BB76" s="235"/>
      <c r="BC76" s="234">
        <v>1.5685560000000001</v>
      </c>
      <c r="BD76" s="234">
        <v>1.6546989999999999</v>
      </c>
      <c r="BE76" s="234">
        <v>1.6876599999999999</v>
      </c>
      <c r="BF76" s="234">
        <v>1.568729</v>
      </c>
      <c r="BG76" s="234">
        <v>1.605812</v>
      </c>
      <c r="BH76" s="234">
        <v>1.642558</v>
      </c>
      <c r="BI76" s="234">
        <v>1.8105610000000001</v>
      </c>
      <c r="BJ76" s="234">
        <v>1.6236470000000001</v>
      </c>
      <c r="BK76" s="234">
        <v>1.61626</v>
      </c>
      <c r="BL76" s="234">
        <v>1.6484620000000001</v>
      </c>
      <c r="BM76" s="234">
        <v>1.681438</v>
      </c>
      <c r="BN76" s="234">
        <v>1.6648970000000001</v>
      </c>
      <c r="BO76" s="234">
        <v>4.7801710000000002</v>
      </c>
      <c r="BP76" s="234">
        <v>5.2647700000000004</v>
      </c>
      <c r="BQ76" s="234">
        <v>5.3617689999999998</v>
      </c>
      <c r="BR76" s="234">
        <v>4.7791290000000002</v>
      </c>
      <c r="BS76" s="234">
        <v>4.8725769999999997</v>
      </c>
      <c r="BT76" s="234">
        <v>4.9637399999999996</v>
      </c>
      <c r="BU76" s="234">
        <v>5.383972</v>
      </c>
      <c r="BV76" s="234">
        <v>4.9195019999999996</v>
      </c>
      <c r="BW76" s="234">
        <v>4.9169910000000003</v>
      </c>
      <c r="BX76" s="234">
        <v>4.9950479999999997</v>
      </c>
      <c r="BY76" s="234">
        <v>5.0765219999999998</v>
      </c>
      <c r="BZ76" s="234">
        <v>5.0359850000000002</v>
      </c>
      <c r="CA76" s="234">
        <v>0.55970900000000001</v>
      </c>
      <c r="CB76" s="234">
        <v>0.56191800000000003</v>
      </c>
      <c r="CC76" s="234">
        <v>0.55513199999999996</v>
      </c>
      <c r="CD76" s="234">
        <v>0.63677799999999996</v>
      </c>
      <c r="CE76" s="234">
        <v>0.62024100000000004</v>
      </c>
      <c r="CF76" s="234">
        <v>0.55706599999999995</v>
      </c>
      <c r="CG76" s="234">
        <v>0.55984299999999998</v>
      </c>
      <c r="CH76" s="234">
        <v>0.55693300000000001</v>
      </c>
      <c r="CI76" s="234">
        <v>1.7496830000000001</v>
      </c>
      <c r="CJ76" s="234">
        <v>1.8224549999999999</v>
      </c>
      <c r="CK76" s="234">
        <v>1.8601939999999999</v>
      </c>
      <c r="CL76" s="234">
        <v>1.7498499999999999</v>
      </c>
      <c r="CM76" s="234">
        <v>1.790996</v>
      </c>
      <c r="CN76" s="234">
        <v>1.8330949999999999</v>
      </c>
      <c r="CO76" s="234">
        <v>1.9830700000000001</v>
      </c>
      <c r="CP76" s="234">
        <v>1.8117529999999999</v>
      </c>
      <c r="CQ76" s="234">
        <v>1.8045150000000001</v>
      </c>
      <c r="CR76" s="234">
        <v>1.839445</v>
      </c>
      <c r="CS76" s="234">
        <v>1.8757619999999999</v>
      </c>
      <c r="CT76" s="234">
        <v>1.8573329999999999</v>
      </c>
      <c r="CU76" s="234">
        <v>2.6682779999999999</v>
      </c>
      <c r="CV76" s="234">
        <v>2.672355</v>
      </c>
      <c r="CW76" s="234">
        <v>3.2246030000000001</v>
      </c>
      <c r="CX76" s="234">
        <v>2.6428539999999998</v>
      </c>
      <c r="CY76" s="234">
        <v>2.9209510000000001</v>
      </c>
      <c r="CZ76" s="234">
        <v>3.004257</v>
      </c>
      <c r="DA76" s="234">
        <v>3.3119700000000001</v>
      </c>
      <c r="DB76" s="234">
        <v>2.6355729999999999</v>
      </c>
      <c r="DC76" s="234">
        <v>1.3948259999999999</v>
      </c>
      <c r="DD76" s="234">
        <v>1.3957360000000001</v>
      </c>
      <c r="DE76" s="234">
        <v>1.3928290000000001</v>
      </c>
      <c r="DF76" s="234">
        <v>1.4778659999999999</v>
      </c>
      <c r="DG76" s="234">
        <v>1.465408</v>
      </c>
      <c r="DH76" s="234">
        <v>1.3937600000000001</v>
      </c>
      <c r="DI76" s="234">
        <v>1.3948370000000001</v>
      </c>
      <c r="DJ76" s="234">
        <v>1.393753</v>
      </c>
      <c r="DK76" s="236"/>
      <c r="DL76" s="234">
        <v>20.3611</v>
      </c>
      <c r="DM76" s="234">
        <v>123.40737596294976</v>
      </c>
      <c r="DN76" s="234">
        <v>188.64397378954956</v>
      </c>
      <c r="DO76" s="234">
        <v>205.96440899209435</v>
      </c>
      <c r="DP76" s="234">
        <v>8.3156829999999999</v>
      </c>
      <c r="DQ76" s="234">
        <v>224.00157374201302</v>
      </c>
      <c r="DR76" s="234">
        <v>244.54847147282226</v>
      </c>
      <c r="DS76" s="234">
        <v>7.7564305906679714</v>
      </c>
      <c r="DT76" s="234">
        <v>8.8884832288370301</v>
      </c>
      <c r="DU76" s="237"/>
      <c r="DV76" s="238">
        <v>49812.639999999999</v>
      </c>
      <c r="DW76" s="238">
        <v>6032.38</v>
      </c>
      <c r="DX76" s="238">
        <v>122825.892418</v>
      </c>
      <c r="DY76" s="238">
        <v>20930.37</v>
      </c>
      <c r="DZ76" s="238">
        <v>426165.35660699999</v>
      </c>
      <c r="EB76" s="239">
        <v>45625</v>
      </c>
      <c r="EC76" s="239">
        <v>45657</v>
      </c>
    </row>
    <row r="77" spans="1:133" x14ac:dyDescent="0.35">
      <c r="A77" s="233">
        <v>45657</v>
      </c>
      <c r="B77" s="234">
        <v>3.356465</v>
      </c>
      <c r="C77" s="234">
        <v>3.90998</v>
      </c>
      <c r="D77" s="234">
        <v>3.3564639999999999</v>
      </c>
      <c r="E77" s="234">
        <v>4.1865160000000001</v>
      </c>
      <c r="F77" s="234">
        <v>3.6186430000000001</v>
      </c>
      <c r="G77" s="234">
        <v>3.4453529999999999</v>
      </c>
      <c r="H77" s="234">
        <v>3.3689260000000001</v>
      </c>
      <c r="I77" s="234">
        <v>3.4582489999999999</v>
      </c>
      <c r="J77" s="234">
        <v>3.2628089999999998</v>
      </c>
      <c r="K77" s="234">
        <v>3.4731109999999998</v>
      </c>
      <c r="L77" s="234">
        <v>6.3655010000000001</v>
      </c>
      <c r="M77" s="234">
        <v>6.3287800000000001</v>
      </c>
      <c r="N77" s="234">
        <v>7.4640399999999998</v>
      </c>
      <c r="O77" s="234">
        <v>7.9352039999999997</v>
      </c>
      <c r="P77" s="234">
        <v>6.3654970000000004</v>
      </c>
      <c r="Q77" s="234">
        <v>8.1547920000000005</v>
      </c>
      <c r="R77" s="234">
        <v>6.9965640000000002</v>
      </c>
      <c r="S77" s="234">
        <v>6.6778979999999999</v>
      </c>
      <c r="T77" s="234">
        <v>7.1483549999999996</v>
      </c>
      <c r="U77" s="234">
        <v>7.3268760000000004</v>
      </c>
      <c r="V77" s="234">
        <v>7.4721200000000003</v>
      </c>
      <c r="W77" s="234">
        <v>0.815419</v>
      </c>
      <c r="X77" s="234">
        <v>1.0398829999999999</v>
      </c>
      <c r="Y77" s="234">
        <v>1.0896049999999999</v>
      </c>
      <c r="Z77" s="234">
        <v>0.81542000000000003</v>
      </c>
      <c r="AA77" s="234">
        <v>0.90320900000000004</v>
      </c>
      <c r="AB77" s="234">
        <v>1.1364939999999999</v>
      </c>
      <c r="AC77" s="234">
        <v>0.930558</v>
      </c>
      <c r="AD77" s="234">
        <v>0.88852500000000001</v>
      </c>
      <c r="AE77" s="234">
        <v>0.87813699999999995</v>
      </c>
      <c r="AF77" s="234">
        <v>1.0166770000000001</v>
      </c>
      <c r="AG77" s="234">
        <v>0.92877900000000002</v>
      </c>
      <c r="AH77" s="234">
        <v>1.1736219999999999</v>
      </c>
      <c r="AI77" s="234">
        <v>1.2869980000000001</v>
      </c>
      <c r="AJ77" s="234">
        <v>1.1733340000000001</v>
      </c>
      <c r="AK77" s="234">
        <v>1.392638</v>
      </c>
      <c r="AL77" s="234">
        <v>1.2500640000000001</v>
      </c>
      <c r="AM77" s="234">
        <v>1.173581</v>
      </c>
      <c r="AN77" s="234">
        <v>1.189567</v>
      </c>
      <c r="AO77" s="234">
        <v>1.1898679999999999</v>
      </c>
      <c r="AP77" s="234">
        <v>1.7115130000000001</v>
      </c>
      <c r="AQ77" s="234">
        <v>1.7439210000000001</v>
      </c>
      <c r="AR77" s="234">
        <v>1.5797410000000001</v>
      </c>
      <c r="AS77" s="234">
        <v>1.716863</v>
      </c>
      <c r="AT77" s="234">
        <v>1.790686</v>
      </c>
      <c r="AU77" s="234">
        <v>1.646666</v>
      </c>
      <c r="AV77" s="234">
        <v>1.836684</v>
      </c>
      <c r="AW77" s="234">
        <v>1.7360070000000001</v>
      </c>
      <c r="AX77" s="234">
        <v>1.6239440000000001</v>
      </c>
      <c r="AY77" s="234">
        <v>1.834803</v>
      </c>
      <c r="AZ77" s="234">
        <v>1.6717690000000001</v>
      </c>
      <c r="BA77" s="234">
        <v>1.717406</v>
      </c>
      <c r="BB77" s="235"/>
      <c r="BC77" s="234">
        <v>1.578284</v>
      </c>
      <c r="BD77" s="234">
        <v>1.665807</v>
      </c>
      <c r="BE77" s="234">
        <v>1.6994050000000001</v>
      </c>
      <c r="BF77" s="234">
        <v>1.5784579999999999</v>
      </c>
      <c r="BG77" s="234">
        <v>1.6161939999999999</v>
      </c>
      <c r="BH77" s="234">
        <v>1.653592</v>
      </c>
      <c r="BI77" s="234">
        <v>1.8251310000000001</v>
      </c>
      <c r="BJ77" s="234">
        <v>1.634341</v>
      </c>
      <c r="BK77" s="234">
        <v>1.6269039999999999</v>
      </c>
      <c r="BL77" s="234">
        <v>1.659678</v>
      </c>
      <c r="BM77" s="234">
        <v>1.6932590000000001</v>
      </c>
      <c r="BN77" s="234">
        <v>1.676412</v>
      </c>
      <c r="BO77" s="234">
        <v>4.846114</v>
      </c>
      <c r="BP77" s="234">
        <v>5.339429</v>
      </c>
      <c r="BQ77" s="234">
        <v>5.4391540000000003</v>
      </c>
      <c r="BR77" s="234">
        <v>4.8450569999999997</v>
      </c>
      <c r="BS77" s="234">
        <v>4.9410689999999997</v>
      </c>
      <c r="BT77" s="234">
        <v>5.0347609999999996</v>
      </c>
      <c r="BU77" s="234">
        <v>5.4671250000000002</v>
      </c>
      <c r="BV77" s="234">
        <v>4.9892960000000004</v>
      </c>
      <c r="BW77" s="234">
        <v>4.9867489999999997</v>
      </c>
      <c r="BX77" s="234">
        <v>5.0669950000000004</v>
      </c>
      <c r="BY77" s="234">
        <v>5.1507379999999996</v>
      </c>
      <c r="BZ77" s="234">
        <v>5.1090340000000003</v>
      </c>
      <c r="CA77" s="234">
        <v>0.55853900000000001</v>
      </c>
      <c r="CB77" s="234">
        <v>0.56075299999999995</v>
      </c>
      <c r="CC77" s="234">
        <v>0.55382399999999998</v>
      </c>
      <c r="CD77" s="234">
        <v>0.63655099999999998</v>
      </c>
      <c r="CE77" s="234">
        <v>0.61972400000000005</v>
      </c>
      <c r="CF77" s="234">
        <v>0.55576400000000004</v>
      </c>
      <c r="CG77" s="234">
        <v>0.55867299999999998</v>
      </c>
      <c r="CH77" s="234">
        <v>0.55563899999999999</v>
      </c>
      <c r="CI77" s="234">
        <v>1.762967</v>
      </c>
      <c r="CJ77" s="234">
        <v>1.837013</v>
      </c>
      <c r="CK77" s="234">
        <v>1.8755299999999999</v>
      </c>
      <c r="CL77" s="234">
        <v>1.7631349999999999</v>
      </c>
      <c r="CM77" s="234">
        <v>1.805061</v>
      </c>
      <c r="CN77" s="234">
        <v>1.8479680000000001</v>
      </c>
      <c r="CO77" s="234">
        <v>2.001322</v>
      </c>
      <c r="CP77" s="234">
        <v>1.8262160000000001</v>
      </c>
      <c r="CQ77" s="234">
        <v>1.8189200000000001</v>
      </c>
      <c r="CR77" s="234">
        <v>1.8545339999999999</v>
      </c>
      <c r="CS77" s="234">
        <v>1.8915500000000001</v>
      </c>
      <c r="CT77" s="234">
        <v>1.872768</v>
      </c>
      <c r="CU77" s="234">
        <v>2.6476570000000001</v>
      </c>
      <c r="CV77" s="234">
        <v>2.6517230000000001</v>
      </c>
      <c r="CW77" s="234">
        <v>3.206779</v>
      </c>
      <c r="CX77" s="234">
        <v>2.6211720000000001</v>
      </c>
      <c r="CY77" s="234">
        <v>2.9019439999999999</v>
      </c>
      <c r="CZ77" s="234">
        <v>2.9847410000000001</v>
      </c>
      <c r="DA77" s="234">
        <v>3.295957</v>
      </c>
      <c r="DB77" s="234">
        <v>2.6139160000000001</v>
      </c>
      <c r="DC77" s="234">
        <v>1.432064</v>
      </c>
      <c r="DD77" s="234">
        <v>1.433071</v>
      </c>
      <c r="DE77" s="234">
        <v>1.4298770000000001</v>
      </c>
      <c r="DF77" s="234">
        <v>1.520006</v>
      </c>
      <c r="DG77" s="234">
        <v>1.506683</v>
      </c>
      <c r="DH77" s="234">
        <v>1.430903</v>
      </c>
      <c r="DI77" s="234">
        <v>1.432075</v>
      </c>
      <c r="DJ77" s="234">
        <v>1.430901</v>
      </c>
      <c r="DK77" s="236"/>
      <c r="DL77" s="234">
        <v>20.882899999999999</v>
      </c>
      <c r="DM77" s="234">
        <v>123.70355366526083</v>
      </c>
      <c r="DN77" s="234">
        <v>189.99382622422146</v>
      </c>
      <c r="DO77" s="234">
        <v>207.52973850043426</v>
      </c>
      <c r="DP77" s="234">
        <v>8.3409089999999999</v>
      </c>
      <c r="DQ77" s="234">
        <v>225.96880534074288</v>
      </c>
      <c r="DR77" s="234">
        <v>246.80483870294483</v>
      </c>
      <c r="DS77" s="234">
        <v>7.8211433529115357</v>
      </c>
      <c r="DT77" s="234">
        <v>8.9665912690150602</v>
      </c>
      <c r="DU77" s="237"/>
      <c r="DV77" s="238">
        <v>49513.27</v>
      </c>
      <c r="DW77" s="238">
        <v>5881.63</v>
      </c>
      <c r="DX77" s="238">
        <v>122825.491127</v>
      </c>
      <c r="DY77" s="238">
        <v>21012.17</v>
      </c>
      <c r="DZ77" s="238">
        <v>438795.04489299993</v>
      </c>
      <c r="EB77" s="239">
        <v>45657</v>
      </c>
      <c r="EC77" s="239">
        <v>45688</v>
      </c>
    </row>
    <row r="78" spans="1:133" x14ac:dyDescent="0.35">
      <c r="A78" s="233">
        <v>45688</v>
      </c>
      <c r="B78" s="234">
        <v>3.4018470000000001</v>
      </c>
      <c r="C78" s="234">
        <v>3.96496</v>
      </c>
      <c r="D78" s="234">
        <v>3.4018449999999998</v>
      </c>
      <c r="E78" s="234">
        <v>4.250731</v>
      </c>
      <c r="F78" s="234">
        <v>3.6715610000000001</v>
      </c>
      <c r="G78" s="234">
        <v>3.4932720000000002</v>
      </c>
      <c r="H78" s="234">
        <v>3.4144830000000002</v>
      </c>
      <c r="I78" s="234">
        <v>3.506351</v>
      </c>
      <c r="J78" s="234">
        <v>3.2695940000000001</v>
      </c>
      <c r="K78" s="234">
        <v>3.4819300000000002</v>
      </c>
      <c r="L78" s="234">
        <v>6.4120179999999998</v>
      </c>
      <c r="M78" s="234">
        <v>6.3716249999999999</v>
      </c>
      <c r="N78" s="234">
        <v>7.522437</v>
      </c>
      <c r="O78" s="234">
        <v>8.0077780000000001</v>
      </c>
      <c r="P78" s="234">
        <v>6.412013</v>
      </c>
      <c r="Q78" s="234">
        <v>8.2311010000000007</v>
      </c>
      <c r="R78" s="234">
        <v>7.0572660000000003</v>
      </c>
      <c r="S78" s="234">
        <v>6.7301440000000001</v>
      </c>
      <c r="T78" s="234">
        <v>7.2066650000000001</v>
      </c>
      <c r="U78" s="234">
        <v>7.3905989999999999</v>
      </c>
      <c r="V78" s="234">
        <v>7.5364079999999998</v>
      </c>
      <c r="W78" s="234">
        <v>0.82092699999999996</v>
      </c>
      <c r="X78" s="234">
        <v>1.048184</v>
      </c>
      <c r="Y78" s="234">
        <v>1.0985910000000001</v>
      </c>
      <c r="Z78" s="234">
        <v>0.82092699999999996</v>
      </c>
      <c r="AA78" s="234">
        <v>0.90982499999999999</v>
      </c>
      <c r="AB78" s="234">
        <v>1.1470089999999999</v>
      </c>
      <c r="AC78" s="234">
        <v>0.93861499999999998</v>
      </c>
      <c r="AD78" s="234">
        <v>0.89546599999999998</v>
      </c>
      <c r="AE78" s="234">
        <v>0.88432699999999997</v>
      </c>
      <c r="AF78" s="234">
        <v>1.0247059999999999</v>
      </c>
      <c r="AG78" s="234">
        <v>0.93591599999999997</v>
      </c>
      <c r="AH78" s="234">
        <v>1.1664019999999999</v>
      </c>
      <c r="AI78" s="234">
        <v>1.2792209999999999</v>
      </c>
      <c r="AJ78" s="234">
        <v>1.1661159999999999</v>
      </c>
      <c r="AK78" s="234">
        <v>1.3857470000000001</v>
      </c>
      <c r="AL78" s="234">
        <v>1.2434909999999999</v>
      </c>
      <c r="AM78" s="234">
        <v>1.1664030000000001</v>
      </c>
      <c r="AN78" s="234">
        <v>1.1822509999999999</v>
      </c>
      <c r="AO78" s="234">
        <v>1.182588</v>
      </c>
      <c r="AP78" s="234">
        <v>1.7252110000000001</v>
      </c>
      <c r="AQ78" s="234">
        <v>1.7590939999999999</v>
      </c>
      <c r="AR78" s="234">
        <v>1.5914919999999999</v>
      </c>
      <c r="AS78" s="234">
        <v>1.7306060000000001</v>
      </c>
      <c r="AT78" s="234">
        <v>1.805525</v>
      </c>
      <c r="AU78" s="234">
        <v>1.659381</v>
      </c>
      <c r="AV78" s="234">
        <v>1.8540410000000001</v>
      </c>
      <c r="AW78" s="234">
        <v>1.7512890000000001</v>
      </c>
      <c r="AX78" s="234">
        <v>1.6364030000000001</v>
      </c>
      <c r="AY78" s="234">
        <v>1.850384</v>
      </c>
      <c r="AZ78" s="234">
        <v>1.6855739999999999</v>
      </c>
      <c r="BA78" s="234">
        <v>1.7319629999999999</v>
      </c>
      <c r="BB78" s="235"/>
      <c r="BC78" s="234">
        <v>1.5908249999999999</v>
      </c>
      <c r="BD78" s="234">
        <v>1.6799809999999999</v>
      </c>
      <c r="BE78" s="234">
        <v>1.7143120000000001</v>
      </c>
      <c r="BF78" s="234">
        <v>1.5910010000000001</v>
      </c>
      <c r="BG78" s="234">
        <v>1.629491</v>
      </c>
      <c r="BH78" s="234">
        <v>1.667645</v>
      </c>
      <c r="BI78" s="234">
        <v>1.8432390000000001</v>
      </c>
      <c r="BJ78" s="234">
        <v>1.6479999999999999</v>
      </c>
      <c r="BK78" s="234">
        <v>1.640498</v>
      </c>
      <c r="BL78" s="234">
        <v>1.6739360000000001</v>
      </c>
      <c r="BM78" s="234">
        <v>1.708215</v>
      </c>
      <c r="BN78" s="234">
        <v>1.6910240000000001</v>
      </c>
      <c r="BO78" s="234">
        <v>4.8610379999999997</v>
      </c>
      <c r="BP78" s="234">
        <v>5.3581339999999997</v>
      </c>
      <c r="BQ78" s="234">
        <v>5.4596390000000001</v>
      </c>
      <c r="BR78" s="234">
        <v>4.8599779999999999</v>
      </c>
      <c r="BS78" s="234">
        <v>4.9576520000000004</v>
      </c>
      <c r="BT78" s="234">
        <v>5.0529970000000004</v>
      </c>
      <c r="BU78" s="234">
        <v>5.4934960000000004</v>
      </c>
      <c r="BV78" s="234">
        <v>5.0067310000000003</v>
      </c>
      <c r="BW78" s="234">
        <v>5.0041739999999999</v>
      </c>
      <c r="BX78" s="234">
        <v>5.0858480000000004</v>
      </c>
      <c r="BY78" s="234">
        <v>5.1710919999999998</v>
      </c>
      <c r="BZ78" s="234">
        <v>5.1286050000000003</v>
      </c>
      <c r="CA78" s="234">
        <v>0.56678799999999996</v>
      </c>
      <c r="CB78" s="234">
        <v>0.56904500000000002</v>
      </c>
      <c r="CC78" s="234">
        <v>0.56200300000000003</v>
      </c>
      <c r="CD78" s="234">
        <v>0.64715</v>
      </c>
      <c r="CE78" s="234">
        <v>0.62990199999999996</v>
      </c>
      <c r="CF78" s="234">
        <v>0.56398099999999995</v>
      </c>
      <c r="CG78" s="234">
        <v>0.56692399999999998</v>
      </c>
      <c r="CH78" s="234">
        <v>0.56386800000000004</v>
      </c>
      <c r="CI78" s="234">
        <v>1.7777050000000001</v>
      </c>
      <c r="CJ78" s="234">
        <v>1.8531550000000001</v>
      </c>
      <c r="CK78" s="234">
        <v>1.8925179999999999</v>
      </c>
      <c r="CL78" s="234">
        <v>1.7778750000000001</v>
      </c>
      <c r="CM78" s="234">
        <v>1.820654</v>
      </c>
      <c r="CN78" s="234">
        <v>1.864446</v>
      </c>
      <c r="CO78" s="234">
        <v>2.0215000000000001</v>
      </c>
      <c r="CP78" s="234">
        <v>1.8422460000000001</v>
      </c>
      <c r="CQ78" s="234">
        <v>1.8348770000000001</v>
      </c>
      <c r="CR78" s="234">
        <v>1.871248</v>
      </c>
      <c r="CS78" s="234">
        <v>1.90903</v>
      </c>
      <c r="CT78" s="234">
        <v>1.8898600000000001</v>
      </c>
      <c r="CU78" s="234">
        <v>2.7104889999999999</v>
      </c>
      <c r="CV78" s="234">
        <v>2.7146680000000001</v>
      </c>
      <c r="CW78" s="234">
        <v>3.2920199999999999</v>
      </c>
      <c r="CX78" s="234">
        <v>2.683103</v>
      </c>
      <c r="CY78" s="234">
        <v>2.974723</v>
      </c>
      <c r="CZ78" s="234">
        <v>3.0608759999999999</v>
      </c>
      <c r="DA78" s="234">
        <v>3.3846810000000001</v>
      </c>
      <c r="DB78" s="234">
        <v>2.675637</v>
      </c>
      <c r="DC78" s="234">
        <v>1.4273</v>
      </c>
      <c r="DD78" s="234">
        <v>1.4283859999999999</v>
      </c>
      <c r="DE78" s="234">
        <v>1.4251199999999999</v>
      </c>
      <c r="DF78" s="234">
        <v>1.517817</v>
      </c>
      <c r="DG78" s="234">
        <v>1.5041180000000001</v>
      </c>
      <c r="DH78" s="234">
        <v>1.426223</v>
      </c>
      <c r="DI78" s="234">
        <v>1.427311</v>
      </c>
      <c r="DJ78" s="234">
        <v>1.426221</v>
      </c>
      <c r="DK78" s="236"/>
      <c r="DL78" s="234">
        <v>20.687100000000001</v>
      </c>
      <c r="DM78" s="234">
        <v>123.98903397744166</v>
      </c>
      <c r="DN78" s="234">
        <v>191.31412498829127</v>
      </c>
      <c r="DO78" s="234">
        <v>209.06125032341791</v>
      </c>
      <c r="DP78" s="234">
        <v>8.3727409999999995</v>
      </c>
      <c r="DQ78" s="234">
        <v>227.87183929638752</v>
      </c>
      <c r="DR78" s="234">
        <v>248.98960998066303</v>
      </c>
      <c r="DS78" s="234">
        <v>7.8839123733982905</v>
      </c>
      <c r="DT78" s="234">
        <v>9.0424137610737709</v>
      </c>
      <c r="DU78" s="237"/>
      <c r="DV78" s="238">
        <v>51209.53</v>
      </c>
      <c r="DW78" s="238">
        <v>6040.53</v>
      </c>
      <c r="DX78" s="238">
        <v>124961.048163</v>
      </c>
      <c r="DY78" s="238">
        <v>21478.05</v>
      </c>
      <c r="DZ78" s="238">
        <v>444318.56815499999</v>
      </c>
      <c r="EB78" s="239">
        <v>45688</v>
      </c>
      <c r="EC78" s="239">
        <v>45716</v>
      </c>
    </row>
    <row r="79" spans="1:133" x14ac:dyDescent="0.35">
      <c r="A79" s="233">
        <v>45716</v>
      </c>
      <c r="B79" s="234">
        <v>3.4654479999999999</v>
      </c>
      <c r="C79" s="234">
        <v>4.0408220000000004</v>
      </c>
      <c r="D79" s="234">
        <v>3.465446</v>
      </c>
      <c r="E79" s="234">
        <v>4.3365239999999998</v>
      </c>
      <c r="F79" s="234">
        <v>3.7435339999999999</v>
      </c>
      <c r="G79" s="234">
        <v>3.559679</v>
      </c>
      <c r="H79" s="234">
        <v>3.4783249999999999</v>
      </c>
      <c r="I79" s="234">
        <v>3.5730309999999998</v>
      </c>
      <c r="J79" s="234">
        <v>3.2666919999999999</v>
      </c>
      <c r="K79" s="234">
        <v>3.4801489999999999</v>
      </c>
      <c r="L79" s="234">
        <v>6.4487490000000003</v>
      </c>
      <c r="M79" s="234">
        <v>6.4053969999999998</v>
      </c>
      <c r="N79" s="234">
        <v>7.5687249999999997</v>
      </c>
      <c r="O79" s="234">
        <v>8.0656999999999996</v>
      </c>
      <c r="P79" s="234">
        <v>6.4487439999999996</v>
      </c>
      <c r="Q79" s="234">
        <v>8.2920610000000003</v>
      </c>
      <c r="R79" s="234">
        <v>7.1055869999999999</v>
      </c>
      <c r="S79" s="234">
        <v>6.7715569999999996</v>
      </c>
      <c r="T79" s="234">
        <v>7.2529529999999998</v>
      </c>
      <c r="U79" s="234">
        <v>7.4413320000000001</v>
      </c>
      <c r="V79" s="234">
        <v>7.5876130000000002</v>
      </c>
      <c r="W79" s="234">
        <v>0.82527499999999998</v>
      </c>
      <c r="X79" s="234">
        <v>1.0547869999999999</v>
      </c>
      <c r="Y79" s="234">
        <v>1.105748</v>
      </c>
      <c r="Z79" s="234">
        <v>0.82527499999999998</v>
      </c>
      <c r="AA79" s="234">
        <v>0.91506900000000002</v>
      </c>
      <c r="AB79" s="234">
        <v>1.155424</v>
      </c>
      <c r="AC79" s="234">
        <v>0.94504699999999997</v>
      </c>
      <c r="AD79" s="234">
        <v>0.90099899999999999</v>
      </c>
      <c r="AE79" s="234">
        <v>0.88922500000000004</v>
      </c>
      <c r="AF79" s="234">
        <v>1.031091</v>
      </c>
      <c r="AG79" s="234">
        <v>0.94160600000000005</v>
      </c>
      <c r="AH79" s="234">
        <v>1.1643950000000001</v>
      </c>
      <c r="AI79" s="234">
        <v>1.2771239999999999</v>
      </c>
      <c r="AJ79" s="234">
        <v>1.1641090000000001</v>
      </c>
      <c r="AK79" s="234">
        <v>1.384727</v>
      </c>
      <c r="AL79" s="234">
        <v>1.2422629999999999</v>
      </c>
      <c r="AM79" s="234">
        <v>1.164428</v>
      </c>
      <c r="AN79" s="234">
        <v>1.180218</v>
      </c>
      <c r="AO79" s="234">
        <v>1.1805810000000001</v>
      </c>
      <c r="AP79" s="234">
        <v>1.736432</v>
      </c>
      <c r="AQ79" s="234">
        <v>1.7715399999999999</v>
      </c>
      <c r="AR79" s="234">
        <v>1.6011089999999999</v>
      </c>
      <c r="AS79" s="234">
        <v>1.7418640000000001</v>
      </c>
      <c r="AT79" s="234">
        <v>1.8176870000000001</v>
      </c>
      <c r="AU79" s="234">
        <v>1.6697919999999999</v>
      </c>
      <c r="AV79" s="234">
        <v>1.8682939999999999</v>
      </c>
      <c r="AW79" s="234">
        <v>1.7638240000000001</v>
      </c>
      <c r="AX79" s="234">
        <v>1.646603</v>
      </c>
      <c r="AY79" s="234">
        <v>1.8631580000000001</v>
      </c>
      <c r="AZ79" s="234">
        <v>1.696887</v>
      </c>
      <c r="BA79" s="234">
        <v>1.7439</v>
      </c>
      <c r="BB79" s="235"/>
      <c r="BC79" s="234">
        <v>1.587601</v>
      </c>
      <c r="BD79" s="234">
        <v>1.677335</v>
      </c>
      <c r="BE79" s="234">
        <v>1.711984</v>
      </c>
      <c r="BF79" s="234">
        <v>1.5877760000000001</v>
      </c>
      <c r="BG79" s="234">
        <v>1.62656</v>
      </c>
      <c r="BH79" s="234">
        <v>1.665011</v>
      </c>
      <c r="BI79" s="234">
        <v>1.8424529999999999</v>
      </c>
      <c r="BJ79" s="234">
        <v>1.6452100000000001</v>
      </c>
      <c r="BK79" s="234">
        <v>1.6377189999999999</v>
      </c>
      <c r="BL79" s="234">
        <v>1.6714249999999999</v>
      </c>
      <c r="BM79" s="234">
        <v>1.7059800000000001</v>
      </c>
      <c r="BN79" s="234">
        <v>1.6886509999999999</v>
      </c>
      <c r="BO79" s="234">
        <v>4.7700550000000002</v>
      </c>
      <c r="BP79" s="234">
        <v>5.2596569999999998</v>
      </c>
      <c r="BQ79" s="234">
        <v>5.3604500000000002</v>
      </c>
      <c r="BR79" s="234">
        <v>4.7690140000000003</v>
      </c>
      <c r="BS79" s="234">
        <v>4.8659569999999999</v>
      </c>
      <c r="BT79" s="234">
        <v>4.9606149999999998</v>
      </c>
      <c r="BU79" s="234">
        <v>5.3983429999999997</v>
      </c>
      <c r="BV79" s="234">
        <v>4.9146830000000001</v>
      </c>
      <c r="BW79" s="234">
        <v>4.9121730000000001</v>
      </c>
      <c r="BX79" s="234">
        <v>4.9932699999999999</v>
      </c>
      <c r="BY79" s="234">
        <v>5.077915</v>
      </c>
      <c r="BZ79" s="234">
        <v>5.0356930000000002</v>
      </c>
      <c r="CA79" s="234">
        <v>0.55466199999999999</v>
      </c>
      <c r="CB79" s="234">
        <v>0.55687799999999998</v>
      </c>
      <c r="CC79" s="234">
        <v>0.54998000000000002</v>
      </c>
      <c r="CD79" s="234">
        <v>0.63426499999999997</v>
      </c>
      <c r="CE79" s="234">
        <v>0.61724699999999999</v>
      </c>
      <c r="CF79" s="234">
        <v>0.55192300000000005</v>
      </c>
      <c r="CG79" s="234">
        <v>0.55479500000000004</v>
      </c>
      <c r="CH79" s="234">
        <v>0.55182600000000004</v>
      </c>
      <c r="CI79" s="234">
        <v>1.759104</v>
      </c>
      <c r="CJ79" s="234">
        <v>1.8344</v>
      </c>
      <c r="CK79" s="234">
        <v>1.8737729999999999</v>
      </c>
      <c r="CL79" s="234">
        <v>1.7592730000000001</v>
      </c>
      <c r="CM79" s="234">
        <v>1.802011</v>
      </c>
      <c r="CN79" s="234">
        <v>1.8457730000000001</v>
      </c>
      <c r="CO79" s="234">
        <v>2.003145</v>
      </c>
      <c r="CP79" s="234">
        <v>1.8235889999999999</v>
      </c>
      <c r="CQ79" s="234">
        <v>1.8162940000000001</v>
      </c>
      <c r="CR79" s="234">
        <v>1.8526499999999999</v>
      </c>
      <c r="CS79" s="234">
        <v>1.8904110000000001</v>
      </c>
      <c r="CT79" s="234">
        <v>1.8712470000000001</v>
      </c>
      <c r="CU79" s="234">
        <v>2.7674219999999998</v>
      </c>
      <c r="CV79" s="234">
        <v>2.771728</v>
      </c>
      <c r="CW79" s="234">
        <v>3.3688030000000002</v>
      </c>
      <c r="CX79" s="234">
        <v>2.7392259999999999</v>
      </c>
      <c r="CY79" s="234">
        <v>3.0404599999999999</v>
      </c>
      <c r="CZ79" s="234">
        <v>3.129613</v>
      </c>
      <c r="DA79" s="234">
        <v>3.4645730000000001</v>
      </c>
      <c r="DB79" s="234">
        <v>2.7315719999999999</v>
      </c>
      <c r="DC79" s="234">
        <v>1.3795029999999999</v>
      </c>
      <c r="DD79" s="234">
        <v>1.3806149999999999</v>
      </c>
      <c r="DE79" s="234">
        <v>1.3773930000000001</v>
      </c>
      <c r="DF79" s="234">
        <v>1.4692510000000001</v>
      </c>
      <c r="DG79" s="234">
        <v>1.455684</v>
      </c>
      <c r="DH79" s="234">
        <v>1.378512</v>
      </c>
      <c r="DI79" s="234">
        <v>1.3795139999999999</v>
      </c>
      <c r="DJ79" s="234">
        <v>1.3785149999999999</v>
      </c>
      <c r="DK79" s="236"/>
      <c r="DL79" s="234">
        <v>20.578199999999999</v>
      </c>
      <c r="DM79" s="234">
        <v>124.23687427980325</v>
      </c>
      <c r="DN79" s="234">
        <v>192.47327601447031</v>
      </c>
      <c r="DO79" s="234">
        <v>210.4092308074477</v>
      </c>
      <c r="DP79" s="234">
        <v>8.3966100000000008</v>
      </c>
      <c r="DQ79" s="234">
        <v>229.53429095952094</v>
      </c>
      <c r="DR79" s="234">
        <v>250.90295680580331</v>
      </c>
      <c r="DS79" s="234">
        <v>7.938808493249395</v>
      </c>
      <c r="DT79" s="234">
        <v>9.1088930846888658</v>
      </c>
      <c r="DU79" s="237"/>
      <c r="DV79" s="238">
        <v>52325.73</v>
      </c>
      <c r="DW79" s="238">
        <v>5954.5</v>
      </c>
      <c r="DX79" s="238">
        <v>122532.89189999999</v>
      </c>
      <c r="DY79" s="238">
        <v>20884.41</v>
      </c>
      <c r="DZ79" s="238">
        <v>429763.56586199999</v>
      </c>
      <c r="EB79" s="239">
        <v>45716</v>
      </c>
      <c r="EC79" s="239">
        <v>45747</v>
      </c>
    </row>
    <row r="80" spans="1:133" x14ac:dyDescent="0.35">
      <c r="A80" s="233">
        <v>45747</v>
      </c>
      <c r="B80" s="234">
        <v>3.5066709999999999</v>
      </c>
      <c r="C80" s="234">
        <v>4.0907410000000004</v>
      </c>
      <c r="D80" s="234">
        <v>3.506669</v>
      </c>
      <c r="E80" s="234">
        <v>4.3949540000000002</v>
      </c>
      <c r="F80" s="234">
        <v>3.7916859999999999</v>
      </c>
      <c r="G80" s="234">
        <v>3.6032299999999999</v>
      </c>
      <c r="H80" s="234">
        <v>3.5197069999999999</v>
      </c>
      <c r="I80" s="234">
        <v>3.6167820000000002</v>
      </c>
      <c r="J80" s="234">
        <v>3.2636430000000001</v>
      </c>
      <c r="K80" s="234">
        <v>3.4783210000000002</v>
      </c>
      <c r="L80" s="234">
        <v>6.4878</v>
      </c>
      <c r="M80" s="234">
        <v>6.4411209999999999</v>
      </c>
      <c r="N80" s="234">
        <v>7.6180300000000001</v>
      </c>
      <c r="O80" s="234">
        <v>8.1276010000000003</v>
      </c>
      <c r="P80" s="234">
        <v>6.4877950000000002</v>
      </c>
      <c r="Q80" s="234">
        <v>8.3572389999999999</v>
      </c>
      <c r="R80" s="234">
        <v>7.157159</v>
      </c>
      <c r="S80" s="234">
        <v>6.8156679999999996</v>
      </c>
      <c r="T80" s="234">
        <v>7.3022900000000002</v>
      </c>
      <c r="U80" s="234">
        <v>7.4954809999999998</v>
      </c>
      <c r="V80" s="234">
        <v>7.6422480000000004</v>
      </c>
      <c r="W80" s="234">
        <v>0.82987299999999997</v>
      </c>
      <c r="X80" s="234">
        <v>1.0617989999999999</v>
      </c>
      <c r="Y80" s="234">
        <v>1.113356</v>
      </c>
      <c r="Z80" s="234">
        <v>0.829874</v>
      </c>
      <c r="AA80" s="234">
        <v>0.92062600000000006</v>
      </c>
      <c r="AB80" s="234">
        <v>1.1643920000000001</v>
      </c>
      <c r="AC80" s="234">
        <v>0.95189299999999999</v>
      </c>
      <c r="AD80" s="234">
        <v>0.90686800000000001</v>
      </c>
      <c r="AE80" s="234">
        <v>0.89441000000000004</v>
      </c>
      <c r="AF80" s="234">
        <v>1.037871</v>
      </c>
      <c r="AG80" s="234">
        <v>0.947627</v>
      </c>
      <c r="AH80" s="234">
        <v>1.1610069999999999</v>
      </c>
      <c r="AI80" s="234">
        <v>1.2735540000000001</v>
      </c>
      <c r="AJ80" s="234">
        <v>1.160722</v>
      </c>
      <c r="AK80" s="234">
        <v>1.382193</v>
      </c>
      <c r="AL80" s="234">
        <v>1.239628</v>
      </c>
      <c r="AM80" s="234">
        <v>1.1611020000000001</v>
      </c>
      <c r="AN80" s="234">
        <v>1.1767860000000001</v>
      </c>
      <c r="AO80" s="234">
        <v>1.177203</v>
      </c>
      <c r="AP80" s="234">
        <v>1.7482120000000001</v>
      </c>
      <c r="AQ80" s="234">
        <v>1.784648</v>
      </c>
      <c r="AR80" s="234">
        <v>1.6111759999999999</v>
      </c>
      <c r="AS80" s="234">
        <v>1.7536830000000001</v>
      </c>
      <c r="AT80" s="234">
        <v>1.830471</v>
      </c>
      <c r="AU80" s="234">
        <v>1.6807080000000001</v>
      </c>
      <c r="AV80" s="234">
        <v>1.883345</v>
      </c>
      <c r="AW80" s="234">
        <v>1.777029</v>
      </c>
      <c r="AX80" s="234">
        <v>1.6572819999999999</v>
      </c>
      <c r="AY80" s="234">
        <v>1.8765860000000001</v>
      </c>
      <c r="AZ80" s="234">
        <v>1.708777</v>
      </c>
      <c r="BA80" s="234">
        <v>1.756446</v>
      </c>
      <c r="BB80" s="235"/>
      <c r="BC80" s="234">
        <v>1.5552440000000001</v>
      </c>
      <c r="BD80" s="234">
        <v>1.6439569999999999</v>
      </c>
      <c r="BE80" s="234">
        <v>1.6782950000000001</v>
      </c>
      <c r="BF80" s="234">
        <v>1.5554159999999999</v>
      </c>
      <c r="BG80" s="234">
        <v>1.593801</v>
      </c>
      <c r="BH80" s="234">
        <v>1.6318630000000001</v>
      </c>
      <c r="BI80" s="234">
        <v>1.808012</v>
      </c>
      <c r="BJ80" s="234">
        <v>1.6122570000000001</v>
      </c>
      <c r="BK80" s="234">
        <v>1.604914</v>
      </c>
      <c r="BL80" s="234">
        <v>1.6382749999999999</v>
      </c>
      <c r="BM80" s="234">
        <v>1.6725030000000001</v>
      </c>
      <c r="BN80" s="234">
        <v>1.6553359999999999</v>
      </c>
      <c r="BO80" s="234">
        <v>4.52515</v>
      </c>
      <c r="BP80" s="234">
        <v>4.991517</v>
      </c>
      <c r="BQ80" s="234">
        <v>5.0883690000000001</v>
      </c>
      <c r="BR80" s="234">
        <v>4.5241619999999996</v>
      </c>
      <c r="BS80" s="234">
        <v>4.617248</v>
      </c>
      <c r="BT80" s="234">
        <v>4.708164</v>
      </c>
      <c r="BU80" s="234">
        <v>5.1290120000000003</v>
      </c>
      <c r="BV80" s="234">
        <v>4.6640480000000002</v>
      </c>
      <c r="BW80" s="234">
        <v>4.6616660000000003</v>
      </c>
      <c r="BX80" s="234">
        <v>4.7395490000000002</v>
      </c>
      <c r="BY80" s="234">
        <v>4.8208869999999999</v>
      </c>
      <c r="BZ80" s="234">
        <v>4.7803079999999998</v>
      </c>
      <c r="CA80" s="234">
        <v>0.52132900000000004</v>
      </c>
      <c r="CB80" s="234">
        <v>0.52341899999999997</v>
      </c>
      <c r="CC80" s="234">
        <v>0.51678599999999997</v>
      </c>
      <c r="CD80" s="234">
        <v>0.59711999999999998</v>
      </c>
      <c r="CE80" s="234">
        <v>0.58082299999999998</v>
      </c>
      <c r="CF80" s="234">
        <v>0.51861999999999997</v>
      </c>
      <c r="CG80" s="234">
        <v>0.52145399999999997</v>
      </c>
      <c r="CH80" s="234">
        <v>0.51852200000000004</v>
      </c>
      <c r="CI80" s="234">
        <v>1.6904870000000001</v>
      </c>
      <c r="CJ80" s="234">
        <v>1.763509</v>
      </c>
      <c r="CK80" s="234">
        <v>1.801796</v>
      </c>
      <c r="CL80" s="234">
        <v>1.6906490000000001</v>
      </c>
      <c r="CM80" s="234">
        <v>1.7321409999999999</v>
      </c>
      <c r="CN80" s="234">
        <v>1.7746360000000001</v>
      </c>
      <c r="CO80" s="234">
        <v>1.927899</v>
      </c>
      <c r="CP80" s="234">
        <v>1.7530939999999999</v>
      </c>
      <c r="CQ80" s="234">
        <v>1.746078</v>
      </c>
      <c r="CR80" s="234">
        <v>1.7813969999999999</v>
      </c>
      <c r="CS80" s="234">
        <v>1.8180799999999999</v>
      </c>
      <c r="CT80" s="234">
        <v>1.7994600000000001</v>
      </c>
      <c r="CU80" s="234">
        <v>2.7755260000000002</v>
      </c>
      <c r="CV80" s="234">
        <v>2.7798669999999999</v>
      </c>
      <c r="CW80" s="234">
        <v>3.3872230000000001</v>
      </c>
      <c r="CX80" s="234">
        <v>2.747258</v>
      </c>
      <c r="CY80" s="234">
        <v>3.0528599999999999</v>
      </c>
      <c r="CZ80" s="234">
        <v>3.1438630000000001</v>
      </c>
      <c r="DA80" s="234">
        <v>3.4842219999999999</v>
      </c>
      <c r="DB80" s="234">
        <v>2.7395480000000001</v>
      </c>
      <c r="DC80" s="234">
        <v>1.259784</v>
      </c>
      <c r="DD80" s="234">
        <v>1.2608490000000001</v>
      </c>
      <c r="DE80" s="234">
        <v>1.2577609999999999</v>
      </c>
      <c r="DF80" s="234">
        <v>1.3439589999999999</v>
      </c>
      <c r="DG80" s="234">
        <v>1.3311539999999999</v>
      </c>
      <c r="DH80" s="234">
        <v>1.258829</v>
      </c>
      <c r="DI80" s="234">
        <v>1.2597929999999999</v>
      </c>
      <c r="DJ80" s="234">
        <v>1.258834</v>
      </c>
      <c r="DK80" s="236"/>
      <c r="DL80" s="234">
        <v>20.4604</v>
      </c>
      <c r="DM80" s="234">
        <v>124.50111920934782</v>
      </c>
      <c r="DN80" s="234">
        <v>193.72959185885585</v>
      </c>
      <c r="DO80" s="234">
        <v>211.87321147779909</v>
      </c>
      <c r="DP80" s="234">
        <v>8.4219340000000003</v>
      </c>
      <c r="DQ80" s="234">
        <v>231.36061880125553</v>
      </c>
      <c r="DR80" s="234">
        <v>253.00733566074624</v>
      </c>
      <c r="DS80" s="234">
        <v>7.9976168710815756</v>
      </c>
      <c r="DT80" s="234">
        <v>9.1802909924223339</v>
      </c>
      <c r="DU80" s="237"/>
      <c r="DV80" s="238">
        <v>52484.43</v>
      </c>
      <c r="DW80" s="238">
        <v>5611.85</v>
      </c>
      <c r="DX80" s="238">
        <v>114820.69574000001</v>
      </c>
      <c r="DY80" s="238">
        <v>19278.45</v>
      </c>
      <c r="DZ80" s="238">
        <v>394444.79837999999</v>
      </c>
      <c r="EB80" s="239">
        <v>45747</v>
      </c>
      <c r="EC80" s="239">
        <v>45777</v>
      </c>
    </row>
    <row r="81" spans="1:141" x14ac:dyDescent="0.35">
      <c r="A81" s="233">
        <v>45777</v>
      </c>
      <c r="B81" s="234">
        <v>3.5278239999999998</v>
      </c>
      <c r="C81" s="234">
        <v>4.1174030000000004</v>
      </c>
      <c r="D81" s="234">
        <v>3.527822</v>
      </c>
      <c r="E81" s="234">
        <v>4.428833</v>
      </c>
      <c r="F81" s="234">
        <v>3.8184580000000001</v>
      </c>
      <c r="G81" s="234">
        <v>3.6262919999999998</v>
      </c>
      <c r="H81" s="234">
        <v>3.5409519999999999</v>
      </c>
      <c r="I81" s="234">
        <v>3.6399840000000001</v>
      </c>
      <c r="J81" s="234">
        <v>3.2751769999999998</v>
      </c>
      <c r="K81" s="234">
        <v>3.4921190000000002</v>
      </c>
      <c r="L81" s="234">
        <v>6.5267150000000003</v>
      </c>
      <c r="M81" s="234">
        <v>6.4764749999999998</v>
      </c>
      <c r="N81" s="234">
        <v>7.6674300000000004</v>
      </c>
      <c r="O81" s="234">
        <v>8.1903869999999994</v>
      </c>
      <c r="P81" s="234">
        <v>6.5267109999999997</v>
      </c>
      <c r="Q81" s="234">
        <v>8.4234589999999994</v>
      </c>
      <c r="R81" s="234">
        <v>7.2092910000000003</v>
      </c>
      <c r="S81" s="234">
        <v>6.8598660000000002</v>
      </c>
      <c r="T81" s="234">
        <v>7.3519199999999998</v>
      </c>
      <c r="U81" s="234">
        <v>7.5502260000000003</v>
      </c>
      <c r="V81" s="234">
        <v>7.6974159999999996</v>
      </c>
      <c r="W81" s="234">
        <v>0.83444300000000005</v>
      </c>
      <c r="X81" s="234">
        <v>1.068867</v>
      </c>
      <c r="Y81" s="234">
        <v>1.1210439999999999</v>
      </c>
      <c r="Z81" s="234">
        <v>0.83444300000000005</v>
      </c>
      <c r="AA81" s="234">
        <v>0.92618800000000001</v>
      </c>
      <c r="AB81" s="234">
        <v>1.17353</v>
      </c>
      <c r="AC81" s="234">
        <v>0.95883600000000002</v>
      </c>
      <c r="AD81" s="234">
        <v>0.91276900000000005</v>
      </c>
      <c r="AE81" s="234">
        <v>0.89958199999999999</v>
      </c>
      <c r="AF81" s="234">
        <v>1.044699</v>
      </c>
      <c r="AG81" s="234">
        <v>0.95367100000000005</v>
      </c>
      <c r="AH81" s="234">
        <v>1.1183380000000001</v>
      </c>
      <c r="AI81" s="234">
        <v>1.2269049999999999</v>
      </c>
      <c r="AJ81" s="234">
        <v>1.1180639999999999</v>
      </c>
      <c r="AK81" s="234">
        <v>1.3329409999999999</v>
      </c>
      <c r="AL81" s="234">
        <v>1.1950799999999999</v>
      </c>
      <c r="AM81" s="234">
        <v>1.1185</v>
      </c>
      <c r="AN81" s="234">
        <v>1.1335390000000001</v>
      </c>
      <c r="AO81" s="234">
        <v>1.134004</v>
      </c>
      <c r="AP81" s="234">
        <v>1.7596989999999999</v>
      </c>
      <c r="AQ81" s="234">
        <v>1.797547</v>
      </c>
      <c r="AR81" s="234">
        <v>1.6209089999999999</v>
      </c>
      <c r="AS81" s="234">
        <v>1.765209</v>
      </c>
      <c r="AT81" s="234">
        <v>1.8429869999999999</v>
      </c>
      <c r="AU81" s="234">
        <v>1.6913069999999999</v>
      </c>
      <c r="AV81" s="234">
        <v>1.898277</v>
      </c>
      <c r="AW81" s="234">
        <v>1.7900400000000001</v>
      </c>
      <c r="AX81" s="234">
        <v>1.6676390000000001</v>
      </c>
      <c r="AY81" s="234">
        <v>1.8897600000000001</v>
      </c>
      <c r="AZ81" s="234">
        <v>1.720413</v>
      </c>
      <c r="BA81" s="234">
        <v>1.768753</v>
      </c>
      <c r="BB81" s="235"/>
      <c r="BC81" s="234">
        <v>1.5500940000000001</v>
      </c>
      <c r="BD81" s="234">
        <v>1.6393800000000001</v>
      </c>
      <c r="BE81" s="234">
        <v>1.674031</v>
      </c>
      <c r="BF81" s="234">
        <v>1.550265</v>
      </c>
      <c r="BG81" s="234">
        <v>1.5889409999999999</v>
      </c>
      <c r="BH81" s="234">
        <v>1.6272979999999999</v>
      </c>
      <c r="BI81" s="234">
        <v>1.805347</v>
      </c>
      <c r="BJ81" s="234">
        <v>1.6075360000000001</v>
      </c>
      <c r="BK81" s="234">
        <v>1.6002130000000001</v>
      </c>
      <c r="BL81" s="234">
        <v>1.633832</v>
      </c>
      <c r="BM81" s="234">
        <v>1.668344</v>
      </c>
      <c r="BN81" s="234">
        <v>1.6510309999999999</v>
      </c>
      <c r="BO81" s="234">
        <v>4.393421</v>
      </c>
      <c r="BP81" s="234">
        <v>4.8482810000000001</v>
      </c>
      <c r="BQ81" s="234">
        <v>4.9435650000000004</v>
      </c>
      <c r="BR81" s="234">
        <v>4.3924620000000001</v>
      </c>
      <c r="BS81" s="234">
        <v>4.4840020000000003</v>
      </c>
      <c r="BT81" s="234">
        <v>4.5734360000000001</v>
      </c>
      <c r="BU81" s="234">
        <v>4.9878590000000003</v>
      </c>
      <c r="BV81" s="234">
        <v>4.5300390000000004</v>
      </c>
      <c r="BW81" s="234">
        <v>4.5277250000000002</v>
      </c>
      <c r="BX81" s="234">
        <v>4.6043260000000004</v>
      </c>
      <c r="BY81" s="234">
        <v>4.6843820000000003</v>
      </c>
      <c r="BZ81" s="234">
        <v>4.6444279999999996</v>
      </c>
      <c r="CA81" s="234">
        <v>0.49552099999999999</v>
      </c>
      <c r="CB81" s="234">
        <v>0.49751800000000002</v>
      </c>
      <c r="CC81" s="234">
        <v>0.491203</v>
      </c>
      <c r="CD81" s="234">
        <v>0.56855100000000003</v>
      </c>
      <c r="CE81" s="234">
        <v>0.55291500000000005</v>
      </c>
      <c r="CF81" s="234">
        <v>0.49295600000000001</v>
      </c>
      <c r="CG81" s="234">
        <v>0.49564000000000002</v>
      </c>
      <c r="CH81" s="234">
        <v>0.49286200000000002</v>
      </c>
      <c r="CI81" s="234">
        <v>1.6718010000000001</v>
      </c>
      <c r="CJ81" s="234">
        <v>1.744726</v>
      </c>
      <c r="CK81" s="234">
        <v>1.783069</v>
      </c>
      <c r="CL81" s="234">
        <v>1.671961</v>
      </c>
      <c r="CM81" s="234">
        <v>1.7134400000000001</v>
      </c>
      <c r="CN81" s="234">
        <v>1.755932</v>
      </c>
      <c r="CO81" s="234">
        <v>1.909651</v>
      </c>
      <c r="CP81" s="234">
        <v>1.7343919999999999</v>
      </c>
      <c r="CQ81" s="234">
        <v>1.727452</v>
      </c>
      <c r="CR81" s="234">
        <v>1.76278</v>
      </c>
      <c r="CS81" s="234">
        <v>1.799474</v>
      </c>
      <c r="CT81" s="234">
        <v>1.7808440000000001</v>
      </c>
      <c r="CU81" s="234">
        <v>2.968194</v>
      </c>
      <c r="CV81" s="234">
        <v>2.972874</v>
      </c>
      <c r="CW81" s="234">
        <v>3.6311740000000001</v>
      </c>
      <c r="CX81" s="234">
        <v>2.9371779999999998</v>
      </c>
      <c r="CY81" s="234">
        <v>3.268802</v>
      </c>
      <c r="CZ81" s="234">
        <v>3.3670079999999998</v>
      </c>
      <c r="DA81" s="234">
        <v>3.7369720000000002</v>
      </c>
      <c r="DB81" s="234">
        <v>2.928903</v>
      </c>
      <c r="DC81" s="234">
        <v>1.2261599999999999</v>
      </c>
      <c r="DD81" s="234">
        <v>1.2272510000000001</v>
      </c>
      <c r="DE81" s="234">
        <v>1.224191</v>
      </c>
      <c r="DF81" s="234">
        <v>1.3104089999999999</v>
      </c>
      <c r="DG81" s="234">
        <v>1.297609</v>
      </c>
      <c r="DH81" s="234">
        <v>1.22529</v>
      </c>
      <c r="DI81" s="234">
        <v>1.22617</v>
      </c>
      <c r="DJ81" s="234">
        <v>1.2252890000000001</v>
      </c>
      <c r="DK81" s="236"/>
      <c r="DL81" s="234">
        <v>19.613600000000002</v>
      </c>
      <c r="DM81" s="234">
        <v>124.7470089197863</v>
      </c>
      <c r="DN81" s="234">
        <v>194.88389734368153</v>
      </c>
      <c r="DO81" s="234">
        <v>213.22390320097006</v>
      </c>
      <c r="DP81" s="234">
        <v>8.4507209999999997</v>
      </c>
      <c r="DQ81" s="234">
        <v>233.00135118958778</v>
      </c>
      <c r="DR81" s="234">
        <v>254.90699907266566</v>
      </c>
      <c r="DS81" s="234">
        <v>8.0530003679138158</v>
      </c>
      <c r="DT81" s="234">
        <v>9.2476896287917008</v>
      </c>
      <c r="DU81" s="237"/>
      <c r="DV81" s="238">
        <v>56259.28</v>
      </c>
      <c r="DW81" s="238">
        <v>5569.06</v>
      </c>
      <c r="DX81" s="238">
        <v>109229.31521600002</v>
      </c>
      <c r="DY81" s="238">
        <v>19571.02</v>
      </c>
      <c r="DZ81" s="238">
        <v>383858.15787200007</v>
      </c>
      <c r="EB81" s="239">
        <v>45777</v>
      </c>
      <c r="EC81" s="239">
        <v>45807</v>
      </c>
    </row>
    <row r="82" spans="1:141" x14ac:dyDescent="0.35">
      <c r="A82" s="233">
        <v>45807</v>
      </c>
      <c r="B82" s="234">
        <v>3.5543580000000001</v>
      </c>
      <c r="C82" s="234">
        <v>4.1503750000000004</v>
      </c>
      <c r="D82" s="234">
        <v>3.5543559999999998</v>
      </c>
      <c r="E82" s="234">
        <v>4.4695780000000003</v>
      </c>
      <c r="F82" s="234">
        <v>3.8511129999999998</v>
      </c>
      <c r="G82" s="234">
        <v>3.654887</v>
      </c>
      <c r="H82" s="234">
        <v>3.5675919999999999</v>
      </c>
      <c r="I82" s="234">
        <v>3.66872</v>
      </c>
      <c r="J82" s="234">
        <v>3.2853669999999999</v>
      </c>
      <c r="K82" s="234">
        <v>3.5045000000000002</v>
      </c>
      <c r="L82" s="234">
        <v>6.5642620000000003</v>
      </c>
      <c r="M82" s="234">
        <v>6.5103799999999996</v>
      </c>
      <c r="N82" s="234">
        <v>7.7152770000000004</v>
      </c>
      <c r="O82" s="234">
        <v>8.2516529999999992</v>
      </c>
      <c r="P82" s="234">
        <v>6.5642569999999996</v>
      </c>
      <c r="Q82" s="234">
        <v>8.4881410000000006</v>
      </c>
      <c r="R82" s="234">
        <v>7.2600350000000002</v>
      </c>
      <c r="S82" s="234">
        <v>6.9026730000000001</v>
      </c>
      <c r="T82" s="234">
        <v>7.4000830000000004</v>
      </c>
      <c r="U82" s="234">
        <v>7.6035199999999996</v>
      </c>
      <c r="V82" s="234">
        <v>7.7511039999999998</v>
      </c>
      <c r="W82" s="234">
        <v>0.83892500000000003</v>
      </c>
      <c r="X82" s="234">
        <v>1.0758380000000001</v>
      </c>
      <c r="Y82" s="234">
        <v>1.128633</v>
      </c>
      <c r="Z82" s="234">
        <v>0.83892599999999995</v>
      </c>
      <c r="AA82" s="234">
        <v>0.93166000000000004</v>
      </c>
      <c r="AB82" s="234">
        <v>1.1825810000000001</v>
      </c>
      <c r="AC82" s="234">
        <v>0.96570100000000003</v>
      </c>
      <c r="AD82" s="234">
        <v>0.91858700000000004</v>
      </c>
      <c r="AE82" s="234">
        <v>0.90466400000000002</v>
      </c>
      <c r="AF82" s="234">
        <v>1.0514319999999999</v>
      </c>
      <c r="AG82" s="234">
        <v>0.95963399999999999</v>
      </c>
      <c r="AH82" s="234">
        <v>1.106571</v>
      </c>
      <c r="AI82" s="234">
        <v>1.2141649999999999</v>
      </c>
      <c r="AJ82" s="234">
        <v>1.1063000000000001</v>
      </c>
      <c r="AK82" s="234">
        <v>1.320452</v>
      </c>
      <c r="AL82" s="234">
        <v>1.1835059999999999</v>
      </c>
      <c r="AM82" s="234">
        <v>1.106803</v>
      </c>
      <c r="AN82" s="234">
        <v>1.1216140000000001</v>
      </c>
      <c r="AO82" s="234">
        <v>1.1221289999999999</v>
      </c>
      <c r="AP82" s="234">
        <v>1.7714570000000001</v>
      </c>
      <c r="AQ82" s="234">
        <v>1.8107390000000001</v>
      </c>
      <c r="AR82" s="234">
        <v>1.630879</v>
      </c>
      <c r="AS82" s="234">
        <v>1.7770060000000001</v>
      </c>
      <c r="AT82" s="234">
        <v>1.855793</v>
      </c>
      <c r="AU82" s="234">
        <v>1.702161</v>
      </c>
      <c r="AV82" s="234">
        <v>1.9135420000000001</v>
      </c>
      <c r="AW82" s="234">
        <v>1.803345</v>
      </c>
      <c r="AX82" s="234">
        <v>1.6782429999999999</v>
      </c>
      <c r="AY82" s="234">
        <v>1.9032359999999999</v>
      </c>
      <c r="AZ82" s="234">
        <v>1.7323189999999999</v>
      </c>
      <c r="BA82" s="234">
        <v>1.781342</v>
      </c>
      <c r="BB82" s="235"/>
      <c r="BC82" s="234">
        <v>1.589577</v>
      </c>
      <c r="BD82" s="234">
        <v>1.68201</v>
      </c>
      <c r="BE82" s="234">
        <v>1.717983</v>
      </c>
      <c r="BF82" s="234">
        <v>1.589753</v>
      </c>
      <c r="BG82" s="234">
        <v>1.6298410000000001</v>
      </c>
      <c r="BH82" s="234">
        <v>1.6696070000000001</v>
      </c>
      <c r="BI82" s="234">
        <v>1.8547419999999999</v>
      </c>
      <c r="BJ82" s="234">
        <v>1.6491150000000001</v>
      </c>
      <c r="BK82" s="234">
        <v>1.6416010000000001</v>
      </c>
      <c r="BL82" s="234">
        <v>1.676455</v>
      </c>
      <c r="BM82" s="234">
        <v>1.7122539999999999</v>
      </c>
      <c r="BN82" s="234">
        <v>1.6942999999999999</v>
      </c>
      <c r="BO82" s="234">
        <v>4.5567339999999996</v>
      </c>
      <c r="BP82" s="234">
        <v>5.0305999999999997</v>
      </c>
      <c r="BQ82" s="234">
        <v>5.1307549999999997</v>
      </c>
      <c r="BR82" s="234">
        <v>4.555739</v>
      </c>
      <c r="BS82" s="234">
        <v>4.6518879999999996</v>
      </c>
      <c r="BT82" s="234">
        <v>4.7458549999999997</v>
      </c>
      <c r="BU82" s="234">
        <v>5.1817339999999996</v>
      </c>
      <c r="BV82" s="234">
        <v>4.700259</v>
      </c>
      <c r="BW82" s="234">
        <v>4.6978580000000001</v>
      </c>
      <c r="BX82" s="234">
        <v>4.7783350000000002</v>
      </c>
      <c r="BY82" s="234">
        <v>4.8624859999999996</v>
      </c>
      <c r="BZ82" s="234">
        <v>4.8204739999999999</v>
      </c>
      <c r="CA82" s="234">
        <v>0.51793</v>
      </c>
      <c r="CB82" s="234">
        <v>0.52002599999999999</v>
      </c>
      <c r="CC82" s="234">
        <v>0.51341700000000001</v>
      </c>
      <c r="CD82" s="234">
        <v>0.59529799999999999</v>
      </c>
      <c r="CE82" s="234">
        <v>0.57880399999999999</v>
      </c>
      <c r="CF82" s="234">
        <v>0.51525799999999999</v>
      </c>
      <c r="CG82" s="234">
        <v>0.51805500000000004</v>
      </c>
      <c r="CH82" s="234">
        <v>0.51515699999999998</v>
      </c>
      <c r="CI82" s="234">
        <v>1.7362869999999999</v>
      </c>
      <c r="CJ82" s="234">
        <v>1.812748</v>
      </c>
      <c r="CK82" s="234">
        <v>1.8530690000000001</v>
      </c>
      <c r="CL82" s="234">
        <v>1.736453</v>
      </c>
      <c r="CM82" s="234">
        <v>1.7799940000000001</v>
      </c>
      <c r="CN82" s="234">
        <v>1.824611</v>
      </c>
      <c r="CO82" s="234">
        <v>1.986496</v>
      </c>
      <c r="CP82" s="234">
        <v>1.8019940000000001</v>
      </c>
      <c r="CQ82" s="234">
        <v>1.7947839999999999</v>
      </c>
      <c r="CR82" s="234">
        <v>1.8318890000000001</v>
      </c>
      <c r="CS82" s="234">
        <v>1.870436</v>
      </c>
      <c r="CT82" s="234">
        <v>1.850867</v>
      </c>
      <c r="CU82" s="234">
        <v>3.0667849999999999</v>
      </c>
      <c r="CV82" s="234">
        <v>3.0716869999999998</v>
      </c>
      <c r="CW82" s="234">
        <v>3.7573270000000001</v>
      </c>
      <c r="CX82" s="234">
        <v>3.0310260000000002</v>
      </c>
      <c r="CY82" s="234">
        <v>3.3815110000000002</v>
      </c>
      <c r="CZ82" s="234">
        <v>3.4805860000000002</v>
      </c>
      <c r="DA82" s="234">
        <v>3.8723869999999998</v>
      </c>
      <c r="DB82" s="234">
        <v>3.0224479999999998</v>
      </c>
      <c r="DC82" s="234">
        <v>1.318695</v>
      </c>
      <c r="DD82" s="234">
        <v>1.319925</v>
      </c>
      <c r="DE82" s="234">
        <v>1.3165750000000001</v>
      </c>
      <c r="DF82" s="234">
        <v>1.4117919999999999</v>
      </c>
      <c r="DG82" s="234">
        <v>1.39767</v>
      </c>
      <c r="DH82" s="234">
        <v>1.3178110000000001</v>
      </c>
      <c r="DI82" s="234">
        <v>1.318705</v>
      </c>
      <c r="DJ82" s="234">
        <v>1.317822</v>
      </c>
      <c r="DK82" s="236"/>
      <c r="DL82" s="234">
        <v>19.395700000000001</v>
      </c>
      <c r="DM82" s="234">
        <v>124.97987000310323</v>
      </c>
      <c r="DN82" s="234">
        <v>196.00123168845198</v>
      </c>
      <c r="DO82" s="234">
        <v>214.53523020565603</v>
      </c>
      <c r="DP82" s="234">
        <v>8.4765610000000002</v>
      </c>
      <c r="DQ82" s="234">
        <v>234.66148581681361</v>
      </c>
      <c r="DR82" s="234">
        <v>256.829422690672</v>
      </c>
      <c r="DS82" s="234">
        <v>8.1053784244734555</v>
      </c>
      <c r="DT82" s="234">
        <v>9.3116913474309619</v>
      </c>
      <c r="DU82" s="237"/>
      <c r="DV82" s="238">
        <v>57841.69</v>
      </c>
      <c r="DW82" s="238">
        <v>5911.69</v>
      </c>
      <c r="DX82" s="238">
        <v>114661.365733</v>
      </c>
      <c r="DY82" s="238">
        <v>21340.99</v>
      </c>
      <c r="DZ82" s="238">
        <v>413923.43974300008</v>
      </c>
      <c r="EB82" s="239">
        <v>45807</v>
      </c>
      <c r="EC82" s="239">
        <v>45838</v>
      </c>
    </row>
    <row r="83" spans="1:141" x14ac:dyDescent="0.35">
      <c r="A83" s="233">
        <v>45838</v>
      </c>
      <c r="B83" s="234">
        <v>3.59415</v>
      </c>
      <c r="C83" s="234">
        <v>4.1987459999999999</v>
      </c>
      <c r="D83" s="234">
        <v>3.5941480000000001</v>
      </c>
      <c r="E83" s="234">
        <v>4.5266760000000001</v>
      </c>
      <c r="F83" s="234">
        <v>3.8979550000000001</v>
      </c>
      <c r="G83" s="234">
        <v>3.6970900000000002</v>
      </c>
      <c r="H83" s="234">
        <v>3.6075379999999999</v>
      </c>
      <c r="I83" s="234">
        <v>3.7110560000000001</v>
      </c>
      <c r="J83" s="234">
        <v>3.2934920000000001</v>
      </c>
      <c r="K83" s="234">
        <v>3.514589</v>
      </c>
      <c r="L83" s="234">
        <v>6.5972379999999999</v>
      </c>
      <c r="M83" s="234">
        <v>6.539892</v>
      </c>
      <c r="N83" s="234">
        <v>7.7575390000000004</v>
      </c>
      <c r="O83" s="234">
        <v>8.3064180000000007</v>
      </c>
      <c r="P83" s="234">
        <v>6.5972330000000001</v>
      </c>
      <c r="Q83" s="234">
        <v>8.5460510000000003</v>
      </c>
      <c r="R83" s="234">
        <v>7.3052359999999998</v>
      </c>
      <c r="S83" s="234">
        <v>6.9404849999999998</v>
      </c>
      <c r="T83" s="234">
        <v>7.4427820000000002</v>
      </c>
      <c r="U83" s="234">
        <v>7.6510009999999999</v>
      </c>
      <c r="V83" s="234">
        <v>7.7989069999999998</v>
      </c>
      <c r="W83" s="234">
        <v>0.84292599999999995</v>
      </c>
      <c r="X83" s="234">
        <v>1.0821240000000001</v>
      </c>
      <c r="Y83" s="234">
        <v>1.135489</v>
      </c>
      <c r="Z83" s="234">
        <v>0.84292699999999998</v>
      </c>
      <c r="AA83" s="234">
        <v>0.93657000000000001</v>
      </c>
      <c r="AB83" s="234">
        <v>1.1908069999999999</v>
      </c>
      <c r="AC83" s="234">
        <v>0.97192100000000003</v>
      </c>
      <c r="AD83" s="234">
        <v>0.92382500000000001</v>
      </c>
      <c r="AE83" s="234">
        <v>0.90921300000000005</v>
      </c>
      <c r="AF83" s="234">
        <v>1.057501</v>
      </c>
      <c r="AG83" s="234">
        <v>0.96499199999999996</v>
      </c>
      <c r="AH83" s="234">
        <v>1.0743799999999999</v>
      </c>
      <c r="AI83" s="234">
        <v>1.1789860000000001</v>
      </c>
      <c r="AJ83" s="234">
        <v>1.0741160000000001</v>
      </c>
      <c r="AK83" s="234">
        <v>1.2834319999999999</v>
      </c>
      <c r="AL83" s="234">
        <v>1.1499870000000001</v>
      </c>
      <c r="AM83" s="234">
        <v>1.0746690000000001</v>
      </c>
      <c r="AN83" s="234">
        <v>1.0889869999999999</v>
      </c>
      <c r="AO83" s="234">
        <v>1.0895269999999999</v>
      </c>
      <c r="AP83" s="234">
        <v>1.7817540000000001</v>
      </c>
      <c r="AQ83" s="234">
        <v>1.8223750000000001</v>
      </c>
      <c r="AR83" s="234">
        <v>1.6395489999999999</v>
      </c>
      <c r="AS83" s="234">
        <v>1.787337</v>
      </c>
      <c r="AT83" s="234">
        <v>1.8670420000000001</v>
      </c>
      <c r="AU83" s="234">
        <v>1.7116340000000001</v>
      </c>
      <c r="AV83" s="234">
        <v>1.927098</v>
      </c>
      <c r="AW83" s="234">
        <v>1.815094</v>
      </c>
      <c r="AX83" s="234">
        <v>1.687489</v>
      </c>
      <c r="AY83" s="234">
        <v>1.9150940000000001</v>
      </c>
      <c r="AZ83" s="234">
        <v>1.742775</v>
      </c>
      <c r="BA83" s="234">
        <v>1.7924150000000001</v>
      </c>
      <c r="BB83" s="235"/>
      <c r="BC83" s="234">
        <v>1.6131340000000001</v>
      </c>
      <c r="BD83" s="234">
        <v>1.7077580000000001</v>
      </c>
      <c r="BE83" s="234">
        <v>1.744688</v>
      </c>
      <c r="BF83" s="234">
        <v>1.6133120000000001</v>
      </c>
      <c r="BG83" s="234">
        <v>1.654401</v>
      </c>
      <c r="BH83" s="234">
        <v>1.695166</v>
      </c>
      <c r="BI83" s="234">
        <v>1.8854709999999999</v>
      </c>
      <c r="BJ83" s="234">
        <v>1.6741550000000001</v>
      </c>
      <c r="BK83" s="234">
        <v>1.666525</v>
      </c>
      <c r="BL83" s="234">
        <v>1.7022630000000001</v>
      </c>
      <c r="BM83" s="234">
        <v>1.7389730000000001</v>
      </c>
      <c r="BN83" s="234">
        <v>1.720564</v>
      </c>
      <c r="BO83" s="234">
        <v>4.627796</v>
      </c>
      <c r="BP83" s="234">
        <v>5.1110160000000002</v>
      </c>
      <c r="BQ83" s="234">
        <v>5.2139990000000003</v>
      </c>
      <c r="BR83" s="234">
        <v>4.6267860000000001</v>
      </c>
      <c r="BS83" s="234">
        <v>4.725581</v>
      </c>
      <c r="BT83" s="234">
        <v>4.8221610000000004</v>
      </c>
      <c r="BU83" s="234">
        <v>5.2705960000000003</v>
      </c>
      <c r="BV83" s="234">
        <v>4.7752970000000001</v>
      </c>
      <c r="BW83" s="234">
        <v>4.7728570000000001</v>
      </c>
      <c r="BX83" s="234">
        <v>4.8555710000000003</v>
      </c>
      <c r="BY83" s="234">
        <v>4.9420960000000003</v>
      </c>
      <c r="BZ83" s="234">
        <v>4.8988750000000003</v>
      </c>
      <c r="CA83" s="234">
        <v>0.52592399999999995</v>
      </c>
      <c r="CB83" s="234">
        <v>0.52805599999999997</v>
      </c>
      <c r="CC83" s="234">
        <v>0.521204</v>
      </c>
      <c r="CD83" s="234">
        <v>0.60546599999999995</v>
      </c>
      <c r="CE83" s="234">
        <v>0.58842399999999995</v>
      </c>
      <c r="CF83" s="234">
        <v>0.52307599999999999</v>
      </c>
      <c r="CG83" s="234">
        <v>0.52605000000000002</v>
      </c>
      <c r="CH83" s="234">
        <v>0.52296299999999996</v>
      </c>
      <c r="CI83" s="234">
        <v>1.7690999999999999</v>
      </c>
      <c r="CJ83" s="234">
        <v>1.847685</v>
      </c>
      <c r="CK83" s="234">
        <v>1.889232</v>
      </c>
      <c r="CL83" s="234">
        <v>1.7692699999999999</v>
      </c>
      <c r="CM83" s="234">
        <v>1.814074</v>
      </c>
      <c r="CN83" s="234">
        <v>1.859996</v>
      </c>
      <c r="CO83" s="234">
        <v>2.0270760000000001</v>
      </c>
      <c r="CP83" s="234">
        <v>1.8367180000000001</v>
      </c>
      <c r="CQ83" s="234">
        <v>1.8293649999999999</v>
      </c>
      <c r="CR83" s="234">
        <v>1.867572</v>
      </c>
      <c r="CS83" s="234">
        <v>1.907249</v>
      </c>
      <c r="CT83" s="234">
        <v>1.8871100000000001</v>
      </c>
      <c r="CU83" s="234">
        <v>3.053499</v>
      </c>
      <c r="CV83" s="234">
        <v>3.0584380000000002</v>
      </c>
      <c r="CW83" s="234">
        <v>3.7501449999999998</v>
      </c>
      <c r="CX83" s="234">
        <v>3.0176050000000001</v>
      </c>
      <c r="CY83" s="234">
        <v>3.370714</v>
      </c>
      <c r="CZ83" s="234">
        <v>3.470761</v>
      </c>
      <c r="DA83" s="234">
        <v>3.8661599999999998</v>
      </c>
      <c r="DB83" s="234">
        <v>3.0090240000000001</v>
      </c>
      <c r="DC83" s="234">
        <v>1.377397</v>
      </c>
      <c r="DD83" s="234">
        <v>1.378735</v>
      </c>
      <c r="DE83" s="234">
        <v>1.3750720000000001</v>
      </c>
      <c r="DF83" s="234">
        <v>1.4770719999999999</v>
      </c>
      <c r="DG83" s="234">
        <v>1.4618610000000001</v>
      </c>
      <c r="DH83" s="234">
        <v>1.3764130000000001</v>
      </c>
      <c r="DI83" s="234">
        <v>1.377407</v>
      </c>
      <c r="DJ83" s="234">
        <v>1.37643</v>
      </c>
      <c r="DK83" s="236"/>
      <c r="DL83" s="234">
        <v>18.7654</v>
      </c>
      <c r="DM83" s="234">
        <v>125.21018013021451</v>
      </c>
      <c r="DN83" s="234">
        <v>197.12698654056925</v>
      </c>
      <c r="DO83" s="234">
        <v>215.85980647281744</v>
      </c>
      <c r="DP83" s="234">
        <v>8.5008470000000003</v>
      </c>
      <c r="DQ83" s="234">
        <v>236.32653942617605</v>
      </c>
      <c r="DR83" s="234">
        <v>258.76234946244455</v>
      </c>
      <c r="DS83" s="234">
        <v>8.1583189288023039</v>
      </c>
      <c r="DT83" s="234">
        <v>9.3765201185660541</v>
      </c>
      <c r="DU83" s="237"/>
      <c r="DV83" s="238">
        <v>57450.879999999997</v>
      </c>
      <c r="DW83" s="238">
        <v>6204.95</v>
      </c>
      <c r="DX83" s="238">
        <v>116438.36872999999</v>
      </c>
      <c r="DY83" s="238">
        <v>22679.01</v>
      </c>
      <c r="DZ83" s="238">
        <v>425580.69425399997</v>
      </c>
      <c r="EB83" s="239">
        <v>45838</v>
      </c>
      <c r="EC83" s="239">
        <v>45869</v>
      </c>
    </row>
    <row r="84" spans="1:141" x14ac:dyDescent="0.35">
      <c r="A84" s="233">
        <v>45869</v>
      </c>
      <c r="B84" s="234">
        <v>3.6025710000000002</v>
      </c>
      <c r="C84" s="234">
        <v>4.2105980000000001</v>
      </c>
      <c r="D84" s="234">
        <v>3.6025689999999999</v>
      </c>
      <c r="E84" s="234">
        <v>4.5448279999999999</v>
      </c>
      <c r="F84" s="234">
        <v>3.9110860000000001</v>
      </c>
      <c r="G84" s="234">
        <v>3.7071190000000001</v>
      </c>
      <c r="H84" s="234">
        <v>3.6159979999999998</v>
      </c>
      <c r="I84" s="234">
        <v>3.7211110000000001</v>
      </c>
      <c r="J84" s="234">
        <v>3.3007469999999999</v>
      </c>
      <c r="K84" s="234">
        <v>3.5238640000000001</v>
      </c>
      <c r="L84" s="234">
        <v>6.6305459999999998</v>
      </c>
      <c r="M84" s="234">
        <v>6.5695119999999996</v>
      </c>
      <c r="N84" s="234">
        <v>7.8004680000000004</v>
      </c>
      <c r="O84" s="234">
        <v>8.3626760000000004</v>
      </c>
      <c r="P84" s="234">
        <v>6.630541</v>
      </c>
      <c r="Q84" s="234">
        <v>8.6056279999999994</v>
      </c>
      <c r="R84" s="234">
        <v>7.3515119999999996</v>
      </c>
      <c r="S84" s="234">
        <v>6.978891</v>
      </c>
      <c r="T84" s="234">
        <v>7.4863</v>
      </c>
      <c r="U84" s="234">
        <v>7.6996180000000001</v>
      </c>
      <c r="V84" s="234">
        <v>7.8478199999999996</v>
      </c>
      <c r="W84" s="234">
        <v>0.846804</v>
      </c>
      <c r="X84" s="234">
        <v>1.088341</v>
      </c>
      <c r="Y84" s="234">
        <v>1.1422939999999999</v>
      </c>
      <c r="Z84" s="234">
        <v>0.84680500000000003</v>
      </c>
      <c r="AA84" s="234">
        <v>0.94137999999999999</v>
      </c>
      <c r="AB84" s="234">
        <v>1.199065</v>
      </c>
      <c r="AC84" s="234">
        <v>0.97813000000000005</v>
      </c>
      <c r="AD84" s="234">
        <v>0.92896999999999996</v>
      </c>
      <c r="AE84" s="234">
        <v>0.91364800000000002</v>
      </c>
      <c r="AF84" s="234">
        <v>1.0634999999999999</v>
      </c>
      <c r="AG84" s="234">
        <v>0.97023499999999996</v>
      </c>
      <c r="AH84" s="234">
        <v>1.081545</v>
      </c>
      <c r="AI84" s="234">
        <v>1.1870050000000001</v>
      </c>
      <c r="AJ84" s="234">
        <v>1.08128</v>
      </c>
      <c r="AK84" s="234">
        <v>1.2934939999999999</v>
      </c>
      <c r="AL84" s="234">
        <v>1.158636</v>
      </c>
      <c r="AM84" s="234">
        <v>1.081907</v>
      </c>
      <c r="AN84" s="234">
        <v>1.096252</v>
      </c>
      <c r="AO84" s="234">
        <v>1.0968500000000001</v>
      </c>
      <c r="AP84" s="234">
        <v>1.7919780000000001</v>
      </c>
      <c r="AQ84" s="234">
        <v>1.834028</v>
      </c>
      <c r="AR84" s="234">
        <v>1.6480859999999999</v>
      </c>
      <c r="AS84" s="234">
        <v>1.797596</v>
      </c>
      <c r="AT84" s="234">
        <v>1.878253</v>
      </c>
      <c r="AU84" s="234">
        <v>1.7210030000000001</v>
      </c>
      <c r="AV84" s="234">
        <v>1.940777</v>
      </c>
      <c r="AW84" s="234">
        <v>1.826873</v>
      </c>
      <c r="AX84" s="234">
        <v>1.696625</v>
      </c>
      <c r="AY84" s="234">
        <v>1.9269400000000001</v>
      </c>
      <c r="AZ84" s="234">
        <v>1.7531920000000001</v>
      </c>
      <c r="BA84" s="234">
        <v>1.8034779999999999</v>
      </c>
      <c r="BB84" s="235"/>
      <c r="BC84" s="234">
        <v>1.632366</v>
      </c>
      <c r="BD84" s="234">
        <v>1.729001</v>
      </c>
      <c r="BE84" s="234">
        <v>1.7668250000000001</v>
      </c>
      <c r="BF84" s="234">
        <v>1.632547</v>
      </c>
      <c r="BG84" s="234">
        <v>1.674566</v>
      </c>
      <c r="BH84" s="234">
        <v>1.7162599999999999</v>
      </c>
      <c r="BI84" s="234">
        <v>1.911465</v>
      </c>
      <c r="BJ84" s="234">
        <v>1.694766</v>
      </c>
      <c r="BK84" s="234">
        <v>1.6870400000000001</v>
      </c>
      <c r="BL84" s="234">
        <v>1.7235929999999999</v>
      </c>
      <c r="BM84" s="234">
        <v>1.761161</v>
      </c>
      <c r="BN84" s="234">
        <v>1.74234</v>
      </c>
      <c r="BO84" s="234">
        <v>4.7317980000000004</v>
      </c>
      <c r="BP84" s="234">
        <v>5.2279239999999998</v>
      </c>
      <c r="BQ84" s="234">
        <v>5.3345589999999996</v>
      </c>
      <c r="BR84" s="234">
        <v>4.7307649999999999</v>
      </c>
      <c r="BS84" s="234">
        <v>4.8330320000000002</v>
      </c>
      <c r="BT84" s="234">
        <v>4.9330360000000004</v>
      </c>
      <c r="BU84" s="234">
        <v>5.3978479999999998</v>
      </c>
      <c r="BV84" s="234">
        <v>4.8845109999999998</v>
      </c>
      <c r="BW84" s="234">
        <v>4.882015</v>
      </c>
      <c r="BX84" s="234">
        <v>4.9676530000000003</v>
      </c>
      <c r="BY84" s="234">
        <v>5.0572569999999999</v>
      </c>
      <c r="BZ84" s="234">
        <v>5.0125260000000003</v>
      </c>
      <c r="CA84" s="234">
        <v>0.53901699999999997</v>
      </c>
      <c r="CB84" s="234">
        <v>0.54120500000000005</v>
      </c>
      <c r="CC84" s="234">
        <v>0.53417999999999999</v>
      </c>
      <c r="CD84" s="234">
        <v>0.621614</v>
      </c>
      <c r="CE84" s="234">
        <v>0.60399499999999995</v>
      </c>
      <c r="CF84" s="234">
        <v>0.53610199999999997</v>
      </c>
      <c r="CG84" s="234">
        <v>0.53914700000000004</v>
      </c>
      <c r="CH84" s="234">
        <v>0.53598500000000004</v>
      </c>
      <c r="CI84" s="234">
        <v>1.801237</v>
      </c>
      <c r="CJ84" s="234">
        <v>1.8819790000000001</v>
      </c>
      <c r="CK84" s="234">
        <v>1.9247749999999999</v>
      </c>
      <c r="CL84" s="234">
        <v>1.801409</v>
      </c>
      <c r="CM84" s="234">
        <v>1.8475060000000001</v>
      </c>
      <c r="CN84" s="234">
        <v>1.894766</v>
      </c>
      <c r="CO84" s="234">
        <v>2.0672100000000002</v>
      </c>
      <c r="CP84" s="234">
        <v>1.870811</v>
      </c>
      <c r="CQ84" s="234">
        <v>1.8633219999999999</v>
      </c>
      <c r="CR84" s="234">
        <v>1.9026529999999999</v>
      </c>
      <c r="CS84" s="234">
        <v>1.9434929999999999</v>
      </c>
      <c r="CT84" s="234">
        <v>1.9227540000000001</v>
      </c>
      <c r="CU84" s="234">
        <v>3.0604689999999999</v>
      </c>
      <c r="CV84" s="234">
        <v>3.0654880000000002</v>
      </c>
      <c r="CW84" s="234">
        <v>3.7680720000000001</v>
      </c>
      <c r="CX84" s="234">
        <v>3.023857</v>
      </c>
      <c r="CY84" s="234">
        <v>3.3825500000000002</v>
      </c>
      <c r="CZ84" s="234">
        <v>3.4839519999999999</v>
      </c>
      <c r="DA84" s="234">
        <v>3.886323</v>
      </c>
      <c r="DB84" s="234">
        <v>3.0152130000000001</v>
      </c>
      <c r="DC84" s="234">
        <v>1.4244520000000001</v>
      </c>
      <c r="DD84" s="234">
        <v>1.4258930000000001</v>
      </c>
      <c r="DE84" s="234">
        <v>1.4220470000000001</v>
      </c>
      <c r="DF84" s="234">
        <v>1.5302279999999999</v>
      </c>
      <c r="DG84" s="234">
        <v>1.5141150000000001</v>
      </c>
      <c r="DH84" s="234">
        <v>1.4234899999999999</v>
      </c>
      <c r="DI84" s="234">
        <v>1.424463</v>
      </c>
      <c r="DJ84" s="234">
        <v>1.4235059999999999</v>
      </c>
      <c r="DK84" s="236"/>
      <c r="DL84" s="234">
        <v>18.867999999999999</v>
      </c>
      <c r="DM84" s="234">
        <v>125.42905448120325</v>
      </c>
      <c r="DN84" s="234">
        <v>198.19470296016775</v>
      </c>
      <c r="DO84" s="234">
        <v>217.12192676905252</v>
      </c>
      <c r="DP84" s="234">
        <v>8.5253329999999998</v>
      </c>
      <c r="DQ84" s="234">
        <v>237.90572587963052</v>
      </c>
      <c r="DR84" s="234">
        <v>260.60286855142658</v>
      </c>
      <c r="DS84" s="234">
        <v>8.2086616487122406</v>
      </c>
      <c r="DT84" s="234">
        <v>9.43841713245763</v>
      </c>
      <c r="DU84" s="237"/>
      <c r="DV84" s="238">
        <v>57397.93</v>
      </c>
      <c r="DW84" s="238">
        <v>6339.39</v>
      </c>
      <c r="DX84" s="238">
        <v>119611.61052</v>
      </c>
      <c r="DY84" s="238">
        <v>23218.12</v>
      </c>
      <c r="DZ84" s="238">
        <v>438079.48815999995</v>
      </c>
      <c r="EB84" s="239">
        <v>45869</v>
      </c>
      <c r="EC84" s="239">
        <v>45898</v>
      </c>
    </row>
    <row r="85" spans="1:141" x14ac:dyDescent="0.35">
      <c r="A85" s="233">
        <v>45898</v>
      </c>
      <c r="B85" s="234">
        <v>3.6540439999999998</v>
      </c>
      <c r="C85" s="234">
        <v>4.2727700000000004</v>
      </c>
      <c r="D85" s="234">
        <v>3.654042</v>
      </c>
      <c r="E85" s="234">
        <v>4.6173869999999999</v>
      </c>
      <c r="F85" s="234">
        <v>3.971025</v>
      </c>
      <c r="G85" s="234">
        <v>3.7614540000000001</v>
      </c>
      <c r="H85" s="234">
        <v>3.6676690000000001</v>
      </c>
      <c r="I85" s="234">
        <v>3.7756560000000001</v>
      </c>
      <c r="J85" s="234">
        <v>3.298127</v>
      </c>
      <c r="K85" s="234">
        <v>3.5225970000000002</v>
      </c>
      <c r="L85" s="234">
        <v>6.664256</v>
      </c>
      <c r="M85" s="234">
        <v>6.5995710000000001</v>
      </c>
      <c r="N85" s="234">
        <v>7.843915</v>
      </c>
      <c r="O85" s="234">
        <v>8.4196190000000009</v>
      </c>
      <c r="P85" s="234">
        <v>6.6642510000000001</v>
      </c>
      <c r="Q85" s="234">
        <v>8.6659319999999997</v>
      </c>
      <c r="R85" s="234">
        <v>7.3983460000000001</v>
      </c>
      <c r="S85" s="234">
        <v>7.0177630000000004</v>
      </c>
      <c r="T85" s="234">
        <v>7.530341</v>
      </c>
      <c r="U85" s="234">
        <v>7.7488229999999998</v>
      </c>
      <c r="V85" s="234">
        <v>7.8973519999999997</v>
      </c>
      <c r="W85" s="234">
        <v>0.85063599999999995</v>
      </c>
      <c r="X85" s="234">
        <v>1.0945100000000001</v>
      </c>
      <c r="Y85" s="234">
        <v>1.149051</v>
      </c>
      <c r="Z85" s="234">
        <v>0.85063599999999995</v>
      </c>
      <c r="AA85" s="234">
        <v>0.94614299999999996</v>
      </c>
      <c r="AB85" s="234">
        <v>1.207287</v>
      </c>
      <c r="AC85" s="234">
        <v>0.98430399999999996</v>
      </c>
      <c r="AD85" s="234">
        <v>0.93406699999999998</v>
      </c>
      <c r="AE85" s="234">
        <v>0.91803500000000005</v>
      </c>
      <c r="AF85" s="234">
        <v>1.0694520000000001</v>
      </c>
      <c r="AG85" s="234">
        <v>0.97543299999999999</v>
      </c>
      <c r="AH85" s="234">
        <v>1.074446</v>
      </c>
      <c r="AI85" s="234">
        <v>1.1793709999999999</v>
      </c>
      <c r="AJ85" s="234">
        <v>1.074182</v>
      </c>
      <c r="AK85" s="234">
        <v>1.2865009999999999</v>
      </c>
      <c r="AL85" s="234">
        <v>1.1520049999999999</v>
      </c>
      <c r="AM85" s="234">
        <v>1.0748759999999999</v>
      </c>
      <c r="AN85" s="234">
        <v>1.0890569999999999</v>
      </c>
      <c r="AO85" s="234">
        <v>1.0897019999999999</v>
      </c>
      <c r="AP85" s="234">
        <v>1.802206</v>
      </c>
      <c r="AQ85" s="234">
        <v>1.8456999999999999</v>
      </c>
      <c r="AR85" s="234">
        <v>1.6566179999999999</v>
      </c>
      <c r="AS85" s="234">
        <v>1.807858</v>
      </c>
      <c r="AT85" s="234">
        <v>1.8894740000000001</v>
      </c>
      <c r="AU85" s="234">
        <v>1.73037</v>
      </c>
      <c r="AV85" s="234">
        <v>1.954493</v>
      </c>
      <c r="AW85" s="234">
        <v>1.838673</v>
      </c>
      <c r="AX85" s="234">
        <v>1.705765</v>
      </c>
      <c r="AY85" s="234">
        <v>1.9388069999999999</v>
      </c>
      <c r="AZ85" s="234">
        <v>1.763617</v>
      </c>
      <c r="BA85" s="234">
        <v>1.814559</v>
      </c>
      <c r="BB85" s="235"/>
      <c r="BC85" s="234">
        <v>1.6457930000000001</v>
      </c>
      <c r="BD85" s="234">
        <v>1.7440979999999999</v>
      </c>
      <c r="BE85" s="234">
        <v>1.782702</v>
      </c>
      <c r="BF85" s="234">
        <v>1.6459760000000001</v>
      </c>
      <c r="BG85" s="234">
        <v>1.6887829999999999</v>
      </c>
      <c r="BH85" s="234">
        <v>1.731268</v>
      </c>
      <c r="BI85" s="234">
        <v>1.9307350000000001</v>
      </c>
      <c r="BJ85" s="234">
        <v>1.7093609999999999</v>
      </c>
      <c r="BK85" s="234">
        <v>1.7015670000000001</v>
      </c>
      <c r="BL85" s="234">
        <v>1.7388209999999999</v>
      </c>
      <c r="BM85" s="234">
        <v>1.777115</v>
      </c>
      <c r="BN85" s="234">
        <v>1.757935</v>
      </c>
      <c r="BO85" s="234">
        <v>4.7435130000000001</v>
      </c>
      <c r="BP85" s="234">
        <v>5.2428790000000003</v>
      </c>
      <c r="BQ85" s="234">
        <v>5.3511340000000001</v>
      </c>
      <c r="BR85" s="234">
        <v>4.7424770000000001</v>
      </c>
      <c r="BS85" s="234">
        <v>4.8462519999999998</v>
      </c>
      <c r="BT85" s="234">
        <v>4.9477609999999999</v>
      </c>
      <c r="BU85" s="234">
        <v>5.4200489999999997</v>
      </c>
      <c r="BV85" s="234">
        <v>4.8985060000000002</v>
      </c>
      <c r="BW85" s="234">
        <v>4.8960020000000002</v>
      </c>
      <c r="BX85" s="234">
        <v>4.9829480000000004</v>
      </c>
      <c r="BY85" s="234">
        <v>5.0738909999999997</v>
      </c>
      <c r="BZ85" s="234">
        <v>5.0284789999999999</v>
      </c>
      <c r="CA85" s="234">
        <v>0.54489500000000002</v>
      </c>
      <c r="CB85" s="234">
        <v>0.54711500000000002</v>
      </c>
      <c r="CC85" s="234">
        <v>0.54000499999999996</v>
      </c>
      <c r="CD85" s="234">
        <v>0.62948599999999999</v>
      </c>
      <c r="CE85" s="234">
        <v>0.61151599999999995</v>
      </c>
      <c r="CF85" s="234">
        <v>0.54195599999999999</v>
      </c>
      <c r="CG85" s="234">
        <v>0.54502600000000001</v>
      </c>
      <c r="CH85" s="234">
        <v>0.54183700000000001</v>
      </c>
      <c r="CI85" s="234">
        <v>1.8167530000000001</v>
      </c>
      <c r="CJ85" s="234">
        <v>1.8989210000000001</v>
      </c>
      <c r="CK85" s="234">
        <v>1.942598</v>
      </c>
      <c r="CL85" s="234">
        <v>1.816927</v>
      </c>
      <c r="CM85" s="234">
        <v>1.8639049999999999</v>
      </c>
      <c r="CN85" s="234">
        <v>1.91208</v>
      </c>
      <c r="CO85" s="234">
        <v>2.0883630000000002</v>
      </c>
      <c r="CP85" s="234">
        <v>1.8876599999999999</v>
      </c>
      <c r="CQ85" s="234">
        <v>1.8800969999999999</v>
      </c>
      <c r="CR85" s="234">
        <v>1.92021</v>
      </c>
      <c r="CS85" s="234">
        <v>1.961857</v>
      </c>
      <c r="CT85" s="234">
        <v>1.940704</v>
      </c>
      <c r="CU85" s="234">
        <v>3.1412279999999999</v>
      </c>
      <c r="CV85" s="234">
        <v>3.1464639999999999</v>
      </c>
      <c r="CW85" s="234">
        <v>3.8775810000000002</v>
      </c>
      <c r="CX85" s="234">
        <v>3.1033590000000002</v>
      </c>
      <c r="CY85" s="234">
        <v>3.4760849999999999</v>
      </c>
      <c r="CZ85" s="234">
        <v>3.5817100000000002</v>
      </c>
      <c r="DA85" s="234">
        <v>4.0005499999999996</v>
      </c>
      <c r="DB85" s="234">
        <v>3.094436</v>
      </c>
      <c r="DC85" s="234">
        <v>1.424118</v>
      </c>
      <c r="DD85" s="234">
        <v>1.4256169999999999</v>
      </c>
      <c r="DE85" s="234">
        <v>1.4217109999999999</v>
      </c>
      <c r="DF85" s="234">
        <v>1.532572</v>
      </c>
      <c r="DG85" s="234">
        <v>1.5160750000000001</v>
      </c>
      <c r="DH85" s="234">
        <v>1.4232119999999999</v>
      </c>
      <c r="DI85" s="234">
        <v>1.424129</v>
      </c>
      <c r="DJ85" s="234">
        <v>1.423235</v>
      </c>
      <c r="DK85" s="236"/>
      <c r="DL85" s="234">
        <v>18.6615</v>
      </c>
      <c r="DM85" s="234">
        <v>125.62709302166745</v>
      </c>
      <c r="DN85" s="234">
        <v>199.15903029823724</v>
      </c>
      <c r="DO85" s="234">
        <v>218.2657974532475</v>
      </c>
      <c r="DP85" s="234">
        <v>8.5389180000000007</v>
      </c>
      <c r="DQ85" s="234">
        <v>239.3603211386129</v>
      </c>
      <c r="DR85" s="234">
        <v>262.30120296783906</v>
      </c>
      <c r="DS85" s="234">
        <v>8.2542054697138969</v>
      </c>
      <c r="DT85" s="234">
        <v>9.4945855460802662</v>
      </c>
      <c r="DU85" s="237"/>
      <c r="DV85" s="238">
        <v>58708.86</v>
      </c>
      <c r="DW85" s="238">
        <v>6460.26</v>
      </c>
      <c r="DX85" s="238">
        <v>120558.14199</v>
      </c>
      <c r="DY85" s="238">
        <v>23415.42</v>
      </c>
      <c r="DZ85" s="238">
        <v>436966.86033</v>
      </c>
      <c r="EB85" s="239">
        <v>45898</v>
      </c>
      <c r="EC85" s="239">
        <v>45930</v>
      </c>
    </row>
    <row r="86" spans="1:141" x14ac:dyDescent="0.35">
      <c r="A86" s="233">
        <v>45930</v>
      </c>
      <c r="B86" s="234">
        <v>3.6920649999999999</v>
      </c>
      <c r="C86" s="234">
        <v>4.3191649999999999</v>
      </c>
      <c r="D86" s="234">
        <v>3.6920630000000001</v>
      </c>
      <c r="E86" s="234">
        <v>4.6728680000000002</v>
      </c>
      <c r="F86" s="234">
        <v>4.0163169999999999</v>
      </c>
      <c r="G86" s="234">
        <v>3.8019080000000001</v>
      </c>
      <c r="H86" s="234">
        <v>3.7058390000000001</v>
      </c>
      <c r="I86" s="234">
        <v>3.816284</v>
      </c>
      <c r="J86" s="234">
        <v>3.2970549999999998</v>
      </c>
      <c r="K86" s="234">
        <v>3.5229279999999998</v>
      </c>
      <c r="L86" s="234">
        <v>6.696485</v>
      </c>
      <c r="M86" s="234">
        <v>6.6282699999999997</v>
      </c>
      <c r="N86" s="234">
        <v>7.8855430000000002</v>
      </c>
      <c r="O86" s="234">
        <v>8.4743949999999995</v>
      </c>
      <c r="P86" s="234">
        <v>6.6964790000000001</v>
      </c>
      <c r="Q86" s="234">
        <v>8.7239740000000001</v>
      </c>
      <c r="R86" s="234">
        <v>7.4433379999999998</v>
      </c>
      <c r="S86" s="234">
        <v>7.0550059999999997</v>
      </c>
      <c r="T86" s="234">
        <v>7.5725800000000003</v>
      </c>
      <c r="U86" s="234">
        <v>7.7960950000000002</v>
      </c>
      <c r="V86" s="234">
        <v>7.944928</v>
      </c>
      <c r="W86" s="234">
        <v>0.85428599999999999</v>
      </c>
      <c r="X86" s="234">
        <v>1.100419</v>
      </c>
      <c r="Y86" s="234">
        <v>1.1555299999999999</v>
      </c>
      <c r="Z86" s="234">
        <v>0.85428700000000002</v>
      </c>
      <c r="AA86" s="234">
        <v>0.95069400000000004</v>
      </c>
      <c r="AB86" s="234">
        <v>1.215195</v>
      </c>
      <c r="AC86" s="234">
        <v>0.99023099999999997</v>
      </c>
      <c r="AD86" s="234">
        <v>0.93894100000000003</v>
      </c>
      <c r="AE86" s="234">
        <v>0.92222000000000004</v>
      </c>
      <c r="AF86" s="234">
        <v>1.075151</v>
      </c>
      <c r="AG86" s="234">
        <v>0.98040400000000005</v>
      </c>
      <c r="AH86" s="234">
        <v>1.05718</v>
      </c>
      <c r="AI86" s="234">
        <v>1.1605780000000001</v>
      </c>
      <c r="AJ86" s="234">
        <v>1.056921</v>
      </c>
      <c r="AK86" s="234">
        <v>1.2672669999999999</v>
      </c>
      <c r="AL86" s="234">
        <v>1.134422</v>
      </c>
      <c r="AM86" s="234">
        <v>1.057674</v>
      </c>
      <c r="AN86" s="234">
        <v>1.0715589999999999</v>
      </c>
      <c r="AO86" s="234">
        <v>1.072249</v>
      </c>
      <c r="AP86" s="234">
        <v>1.811895</v>
      </c>
      <c r="AQ86" s="234">
        <v>1.8567959999999999</v>
      </c>
      <c r="AR86" s="234">
        <v>1.6646730000000001</v>
      </c>
      <c r="AS86" s="234">
        <v>1.81758</v>
      </c>
      <c r="AT86" s="234">
        <v>1.90012</v>
      </c>
      <c r="AU86" s="234">
        <v>1.7392300000000001</v>
      </c>
      <c r="AV86" s="234">
        <v>1.9675720000000001</v>
      </c>
      <c r="AW86" s="234">
        <v>1.8498950000000001</v>
      </c>
      <c r="AX86" s="234">
        <v>1.7144090000000001</v>
      </c>
      <c r="AY86" s="234">
        <v>1.9500789999999999</v>
      </c>
      <c r="AZ86" s="234">
        <v>1.773506</v>
      </c>
      <c r="BA86" s="234">
        <v>1.8250850000000001</v>
      </c>
      <c r="BB86" s="235"/>
      <c r="BC86" s="234">
        <v>1.676947</v>
      </c>
      <c r="BD86" s="234">
        <v>1.7779700000000001</v>
      </c>
      <c r="BE86" s="234">
        <v>1.8177559999999999</v>
      </c>
      <c r="BF86" s="234">
        <v>1.677133</v>
      </c>
      <c r="BG86" s="234">
        <v>1.7211879999999999</v>
      </c>
      <c r="BH86" s="234">
        <v>1.7649189999999999</v>
      </c>
      <c r="BI86" s="234">
        <v>1.9707870000000001</v>
      </c>
      <c r="BJ86" s="234">
        <v>1.7423649999999999</v>
      </c>
      <c r="BK86" s="234">
        <v>1.734418</v>
      </c>
      <c r="BL86" s="234">
        <v>1.772778</v>
      </c>
      <c r="BM86" s="234">
        <v>1.812203</v>
      </c>
      <c r="BN86" s="234">
        <v>1.7924549999999999</v>
      </c>
      <c r="BO86" s="234">
        <v>4.8205140000000002</v>
      </c>
      <c r="BP86" s="234">
        <v>5.3299580000000004</v>
      </c>
      <c r="BQ86" s="234">
        <v>5.4413239999999998</v>
      </c>
      <c r="BR86" s="234">
        <v>4.8194610000000004</v>
      </c>
      <c r="BS86" s="234">
        <v>4.9261549999999996</v>
      </c>
      <c r="BT86" s="234">
        <v>5.0305479999999996</v>
      </c>
      <c r="BU86" s="234">
        <v>5.5167359999999999</v>
      </c>
      <c r="BV86" s="234">
        <v>4.9798939999999998</v>
      </c>
      <c r="BW86" s="234">
        <v>4.9773480000000001</v>
      </c>
      <c r="BX86" s="234">
        <v>5.0667710000000001</v>
      </c>
      <c r="BY86" s="234">
        <v>5.1603159999999999</v>
      </c>
      <c r="BZ86" s="234">
        <v>5.113575</v>
      </c>
      <c r="CA86" s="234">
        <v>0.55216200000000004</v>
      </c>
      <c r="CB86" s="234">
        <v>0.55442100000000005</v>
      </c>
      <c r="CC86" s="234">
        <v>0.54707700000000004</v>
      </c>
      <c r="CD86" s="234">
        <v>0.638957</v>
      </c>
      <c r="CE86" s="234">
        <v>0.62044200000000005</v>
      </c>
      <c r="CF86" s="234">
        <v>0.54906299999999997</v>
      </c>
      <c r="CG86" s="234">
        <v>0.55229499999999998</v>
      </c>
      <c r="CH86" s="234">
        <v>0.54894799999999999</v>
      </c>
      <c r="CI86" s="234">
        <v>1.8637239999999999</v>
      </c>
      <c r="CJ86" s="234">
        <v>1.948736</v>
      </c>
      <c r="CK86" s="234">
        <v>1.994048</v>
      </c>
      <c r="CL86" s="234">
        <v>1.8639030000000001</v>
      </c>
      <c r="CM86" s="234">
        <v>1.9125749999999999</v>
      </c>
      <c r="CN86" s="234">
        <v>1.9624999999999999</v>
      </c>
      <c r="CO86" s="234">
        <v>2.1456810000000002</v>
      </c>
      <c r="CP86" s="234">
        <v>1.9371940000000001</v>
      </c>
      <c r="CQ86" s="234">
        <v>1.929432</v>
      </c>
      <c r="CR86" s="234">
        <v>1.971015</v>
      </c>
      <c r="CS86" s="234">
        <v>2.0141819999999999</v>
      </c>
      <c r="CT86" s="234">
        <v>1.992254</v>
      </c>
      <c r="CU86" s="234">
        <v>3.3673700000000002</v>
      </c>
      <c r="CV86" s="234">
        <v>3.3730310000000001</v>
      </c>
      <c r="CW86" s="234">
        <v>4.1667350000000001</v>
      </c>
      <c r="CX86" s="234">
        <v>3.3260890000000001</v>
      </c>
      <c r="CY86" s="234">
        <v>3.7307939999999999</v>
      </c>
      <c r="CZ86" s="234">
        <v>3.8451879999999998</v>
      </c>
      <c r="DA86" s="234">
        <v>4.3007059999999999</v>
      </c>
      <c r="DB86" s="234">
        <v>3.3164709999999999</v>
      </c>
      <c r="DC86" s="234">
        <v>1.4782379999999999</v>
      </c>
      <c r="DD86" s="234">
        <v>1.479849</v>
      </c>
      <c r="DE86" s="234">
        <v>1.4756130000000001</v>
      </c>
      <c r="DF86" s="234">
        <v>1.5935299999999999</v>
      </c>
      <c r="DG86" s="234">
        <v>1.575885</v>
      </c>
      <c r="DH86" s="234">
        <v>1.4772259999999999</v>
      </c>
      <c r="DI86" s="234">
        <v>1.4782489999999999</v>
      </c>
      <c r="DJ86" s="234">
        <v>1.4772540000000001</v>
      </c>
      <c r="DK86" s="236"/>
      <c r="DL86" s="234">
        <v>18.314699999999998</v>
      </c>
      <c r="DM86" s="234">
        <v>125.84261327902905</v>
      </c>
      <c r="DN86" s="234">
        <v>200.20350876824577</v>
      </c>
      <c r="DO86" s="234">
        <v>219.50748732320375</v>
      </c>
      <c r="DP86" s="234">
        <v>8.5506679999999999</v>
      </c>
      <c r="DQ86" s="234">
        <v>240.96031190746837</v>
      </c>
      <c r="DR86" s="234">
        <v>264.17111909921869</v>
      </c>
      <c r="DS86" s="234">
        <v>8.3038627698196965</v>
      </c>
      <c r="DT86" s="234">
        <v>9.5559247885237433</v>
      </c>
      <c r="DU86" s="237"/>
      <c r="DV86" s="238">
        <v>62915.57</v>
      </c>
      <c r="DW86" s="238">
        <v>6688.46</v>
      </c>
      <c r="DX86" s="238">
        <v>122497.13836199998</v>
      </c>
      <c r="DY86" s="238">
        <v>24679.99</v>
      </c>
      <c r="DZ86" s="238">
        <v>452006.612853</v>
      </c>
      <c r="EB86" s="239">
        <v>45930</v>
      </c>
      <c r="EC86" s="239">
        <v>45961</v>
      </c>
    </row>
    <row r="87" spans="1:141" x14ac:dyDescent="0.35">
      <c r="A87" s="233">
        <v>45961</v>
      </c>
      <c r="B87" s="234">
        <v>3.7160389999999999</v>
      </c>
      <c r="C87" s="234">
        <v>4.3493149999999998</v>
      </c>
      <c r="D87" s="234">
        <v>3.716037</v>
      </c>
      <c r="E87" s="234">
        <v>4.7114120000000002</v>
      </c>
      <c r="F87" s="234">
        <v>4.0467979999999999</v>
      </c>
      <c r="G87" s="234">
        <v>3.8279920000000001</v>
      </c>
      <c r="H87" s="234">
        <v>3.7299090000000001</v>
      </c>
      <c r="I87" s="234">
        <v>3.8424939999999999</v>
      </c>
      <c r="J87" s="234">
        <v>3.2951950000000001</v>
      </c>
      <c r="K87" s="234">
        <v>3.5225650000000002</v>
      </c>
      <c r="L87" s="234">
        <v>6.7301289999999998</v>
      </c>
      <c r="M87" s="234">
        <v>6.658042</v>
      </c>
      <c r="N87" s="234">
        <v>7.9292689999999997</v>
      </c>
      <c r="O87" s="234">
        <v>8.532565</v>
      </c>
      <c r="P87" s="234">
        <v>6.730124</v>
      </c>
      <c r="Q87" s="234">
        <v>8.7857000000000003</v>
      </c>
      <c r="R87" s="234">
        <v>7.4909410000000003</v>
      </c>
      <c r="S87" s="234">
        <v>7.0941270000000003</v>
      </c>
      <c r="T87" s="234">
        <v>7.6170730000000004</v>
      </c>
      <c r="U87" s="234">
        <v>7.84612</v>
      </c>
      <c r="V87" s="234">
        <v>7.9952100000000002</v>
      </c>
      <c r="W87" s="234">
        <v>0.85818700000000003</v>
      </c>
      <c r="X87" s="234">
        <v>1.106784</v>
      </c>
      <c r="Y87" s="234">
        <v>1.1625190000000001</v>
      </c>
      <c r="Z87" s="234">
        <v>0.85818799999999995</v>
      </c>
      <c r="AA87" s="234">
        <v>0.95557700000000001</v>
      </c>
      <c r="AB87" s="234">
        <v>1.2237629999999999</v>
      </c>
      <c r="AC87" s="234">
        <v>0.99663900000000005</v>
      </c>
      <c r="AD87" s="234">
        <v>0.94418100000000005</v>
      </c>
      <c r="AE87" s="234">
        <v>0.92670300000000005</v>
      </c>
      <c r="AF87" s="234">
        <v>1.0812889999999999</v>
      </c>
      <c r="AG87" s="234">
        <v>0.98574700000000004</v>
      </c>
      <c r="AH87" s="234">
        <v>1.075081</v>
      </c>
      <c r="AI87" s="234">
        <v>1.1804479999999999</v>
      </c>
      <c r="AJ87" s="234">
        <v>1.0748169999999999</v>
      </c>
      <c r="AK87" s="234">
        <v>1.2903800000000001</v>
      </c>
      <c r="AL87" s="234">
        <v>1.154674</v>
      </c>
      <c r="AM87" s="234">
        <v>1.075663</v>
      </c>
      <c r="AN87" s="234">
        <v>1.0897049999999999</v>
      </c>
      <c r="AO87" s="234">
        <v>1.0904739999999999</v>
      </c>
      <c r="AP87" s="234">
        <v>1.8223849999999999</v>
      </c>
      <c r="AQ87" s="234">
        <v>1.8688439999999999</v>
      </c>
      <c r="AR87" s="234">
        <v>1.673368</v>
      </c>
      <c r="AS87" s="234">
        <v>1.828104</v>
      </c>
      <c r="AT87" s="234">
        <v>1.9116599999999999</v>
      </c>
      <c r="AU87" s="234">
        <v>1.7488090000000001</v>
      </c>
      <c r="AV87" s="234">
        <v>1.981813</v>
      </c>
      <c r="AW87" s="234">
        <v>1.8620859999999999</v>
      </c>
      <c r="AX87" s="234">
        <v>1.723732</v>
      </c>
      <c r="AY87" s="234">
        <v>1.962288</v>
      </c>
      <c r="AZ87" s="234">
        <v>1.784224</v>
      </c>
      <c r="BA87" s="234">
        <v>1.8364830000000001</v>
      </c>
      <c r="BB87" s="235"/>
      <c r="BC87" s="234">
        <v>1.7126650000000001</v>
      </c>
      <c r="BD87" s="234">
        <v>1.816789</v>
      </c>
      <c r="BE87" s="234">
        <v>1.8579289999999999</v>
      </c>
      <c r="BF87" s="234">
        <v>1.712855</v>
      </c>
      <c r="BG87" s="234">
        <v>1.758338</v>
      </c>
      <c r="BH87" s="234">
        <v>1.8034969999999999</v>
      </c>
      <c r="BI87" s="234">
        <v>2.0167060000000001</v>
      </c>
      <c r="BJ87" s="234">
        <v>1.780203</v>
      </c>
      <c r="BK87" s="234">
        <v>1.772081</v>
      </c>
      <c r="BL87" s="234">
        <v>1.811709</v>
      </c>
      <c r="BM87" s="234">
        <v>1.8524290000000001</v>
      </c>
      <c r="BN87" s="234">
        <v>1.8320270000000001</v>
      </c>
      <c r="BO87" s="234">
        <v>5.0109830000000004</v>
      </c>
      <c r="BP87" s="234">
        <v>5.5427670000000004</v>
      </c>
      <c r="BQ87" s="234">
        <v>5.6600979999999996</v>
      </c>
      <c r="BR87" s="234">
        <v>5.0098880000000001</v>
      </c>
      <c r="BS87" s="234">
        <v>5.1222079999999997</v>
      </c>
      <c r="BT87" s="234">
        <v>5.2321419999999996</v>
      </c>
      <c r="BU87" s="234">
        <v>5.7446789999999996</v>
      </c>
      <c r="BV87" s="234">
        <v>5.1787989999999997</v>
      </c>
      <c r="BW87" s="234">
        <v>5.1761509999999999</v>
      </c>
      <c r="BX87" s="234">
        <v>5.2703329999999999</v>
      </c>
      <c r="BY87" s="234">
        <v>5.368862</v>
      </c>
      <c r="BZ87" s="234">
        <v>5.319617</v>
      </c>
      <c r="CA87" s="234">
        <v>0.57083600000000001</v>
      </c>
      <c r="CB87" s="234">
        <v>0.57318400000000003</v>
      </c>
      <c r="CC87" s="234">
        <v>0.56557900000000005</v>
      </c>
      <c r="CD87" s="234">
        <v>0.66179399999999999</v>
      </c>
      <c r="CE87" s="234">
        <v>0.64246999999999999</v>
      </c>
      <c r="CF87" s="234">
        <v>0.56764400000000004</v>
      </c>
      <c r="CG87" s="234">
        <v>0.57097399999999998</v>
      </c>
      <c r="CH87" s="234">
        <v>0.56753799999999999</v>
      </c>
      <c r="CI87" s="234">
        <v>1.9185989999999999</v>
      </c>
      <c r="CJ87" s="234">
        <v>2.0069330000000001</v>
      </c>
      <c r="CK87" s="234">
        <v>2.0541589999999998</v>
      </c>
      <c r="CL87" s="234">
        <v>1.9187829999999999</v>
      </c>
      <c r="CM87" s="234">
        <v>1.969433</v>
      </c>
      <c r="CN87" s="234">
        <v>2.0213999999999999</v>
      </c>
      <c r="CO87" s="234">
        <v>2.212631</v>
      </c>
      <c r="CP87" s="234">
        <v>1.9950589999999999</v>
      </c>
      <c r="CQ87" s="234">
        <v>1.98706</v>
      </c>
      <c r="CR87" s="234">
        <v>2.0303629999999999</v>
      </c>
      <c r="CS87" s="234">
        <v>2.0753159999999999</v>
      </c>
      <c r="CT87" s="234">
        <v>2.0524740000000001</v>
      </c>
      <c r="CU87" s="234">
        <v>3.3800279999999998</v>
      </c>
      <c r="CV87" s="234">
        <v>3.3857719999999998</v>
      </c>
      <c r="CW87" s="234">
        <v>4.1936289999999996</v>
      </c>
      <c r="CX87" s="234">
        <v>3.3379799999999999</v>
      </c>
      <c r="CY87" s="234">
        <v>3.7497500000000001</v>
      </c>
      <c r="CZ87" s="234">
        <v>3.8660329999999998</v>
      </c>
      <c r="DA87" s="234">
        <v>4.3303539999999998</v>
      </c>
      <c r="DB87" s="234">
        <v>3.3282470000000002</v>
      </c>
      <c r="DC87" s="234">
        <v>1.5716589999999999</v>
      </c>
      <c r="DD87" s="234">
        <v>1.5734300000000001</v>
      </c>
      <c r="DE87" s="234">
        <v>1.5688679999999999</v>
      </c>
      <c r="DF87" s="234">
        <v>1.6974119999999999</v>
      </c>
      <c r="DG87" s="234">
        <v>1.678207</v>
      </c>
      <c r="DH87" s="234">
        <v>1.570641</v>
      </c>
      <c r="DI87" s="234">
        <v>1.571671</v>
      </c>
      <c r="DJ87" s="234">
        <v>1.570668</v>
      </c>
      <c r="DK87" s="236"/>
      <c r="DL87" s="234">
        <v>18.579599999999999</v>
      </c>
      <c r="DM87" s="234">
        <v>126.05067306631705</v>
      </c>
      <c r="DN87" s="234">
        <v>201.21892984230115</v>
      </c>
      <c r="DO87" s="234">
        <v>220.71532727219966</v>
      </c>
      <c r="DP87" s="234">
        <v>8.5715319999999995</v>
      </c>
      <c r="DQ87" s="234">
        <v>242.47709013750591</v>
      </c>
      <c r="DR87" s="234">
        <v>265.94774325602737</v>
      </c>
      <c r="DS87" s="234">
        <v>8.3522541067679583</v>
      </c>
      <c r="DT87" s="234">
        <v>9.6157269603409237</v>
      </c>
      <c r="DU87" s="237"/>
      <c r="DV87" s="238">
        <v>62769.18</v>
      </c>
      <c r="DW87" s="238">
        <v>6840.2</v>
      </c>
      <c r="DX87" s="238">
        <v>127088.17992</v>
      </c>
      <c r="DY87" s="238">
        <v>25858.13</v>
      </c>
      <c r="DZ87" s="238">
        <v>480433.71214800002</v>
      </c>
      <c r="EB87" s="239">
        <v>45961</v>
      </c>
      <c r="EC87" s="239">
        <v>45989</v>
      </c>
    </row>
    <row r="88" spans="1:141" x14ac:dyDescent="0.35">
      <c r="A88" s="233">
        <v>45989</v>
      </c>
      <c r="B88" s="234">
        <v>3.7290510000000001</v>
      </c>
      <c r="C88" s="234">
        <v>4.366339</v>
      </c>
      <c r="D88" s="234">
        <v>3.7290489999999998</v>
      </c>
      <c r="E88" s="234">
        <v>4.7349050000000004</v>
      </c>
      <c r="F88" s="234">
        <v>4.0647209999999996</v>
      </c>
      <c r="G88" s="234">
        <v>3.8426309999999999</v>
      </c>
      <c r="H88" s="234">
        <v>3.7429749999999999</v>
      </c>
      <c r="I88" s="234">
        <v>3.857227</v>
      </c>
      <c r="J88" s="234">
        <v>3.2836449999999999</v>
      </c>
      <c r="K88" s="234">
        <v>3.5115980000000002</v>
      </c>
      <c r="L88" s="234">
        <v>6.7566639999999998</v>
      </c>
      <c r="M88" s="234">
        <v>6.6812649999999998</v>
      </c>
      <c r="N88" s="234">
        <v>7.9640430000000002</v>
      </c>
      <c r="O88" s="234">
        <v>8.5795239999999993</v>
      </c>
      <c r="P88" s="234">
        <v>6.756659</v>
      </c>
      <c r="Q88" s="234">
        <v>8.8356239999999993</v>
      </c>
      <c r="R88" s="234">
        <v>7.529185</v>
      </c>
      <c r="S88" s="234">
        <v>7.1252380000000004</v>
      </c>
      <c r="T88" s="234">
        <v>7.6526050000000003</v>
      </c>
      <c r="U88" s="234">
        <v>7.8863180000000002</v>
      </c>
      <c r="V88" s="234">
        <v>8.0356050000000003</v>
      </c>
      <c r="W88" s="234">
        <v>0.86138499999999996</v>
      </c>
      <c r="X88" s="234">
        <v>1.11205</v>
      </c>
      <c r="Y88" s="234">
        <v>1.16831</v>
      </c>
      <c r="Z88" s="234">
        <v>0.86138599999999999</v>
      </c>
      <c r="AA88" s="234">
        <v>0.95960100000000004</v>
      </c>
      <c r="AB88" s="234">
        <v>1.2309000000000001</v>
      </c>
      <c r="AC88" s="234">
        <v>1.001962</v>
      </c>
      <c r="AD88" s="234">
        <v>0.94851200000000002</v>
      </c>
      <c r="AE88" s="234">
        <v>0.93038900000000002</v>
      </c>
      <c r="AF88" s="234">
        <v>1.0863659999999999</v>
      </c>
      <c r="AG88" s="234">
        <v>0.99015900000000001</v>
      </c>
      <c r="AH88" s="234">
        <v>1.0617000000000001</v>
      </c>
      <c r="AI88" s="234">
        <v>1.1659349999999999</v>
      </c>
      <c r="AJ88" s="234">
        <v>1.061439</v>
      </c>
      <c r="AK88" s="234">
        <v>1.2757050000000001</v>
      </c>
      <c r="AL88" s="234">
        <v>1.1411770000000001</v>
      </c>
      <c r="AM88" s="234">
        <v>1.062341</v>
      </c>
      <c r="AN88" s="234">
        <v>1.0761449999999999</v>
      </c>
      <c r="AO88" s="234">
        <v>1.0769550000000001</v>
      </c>
      <c r="AP88" s="234">
        <v>1.830951</v>
      </c>
      <c r="AQ88" s="234">
        <v>1.878735</v>
      </c>
      <c r="AR88" s="234">
        <v>1.680431</v>
      </c>
      <c r="AS88" s="234">
        <v>1.8367</v>
      </c>
      <c r="AT88" s="234">
        <v>1.921106</v>
      </c>
      <c r="AU88" s="234">
        <v>1.7566109999999999</v>
      </c>
      <c r="AV88" s="234">
        <v>1.993552</v>
      </c>
      <c r="AW88" s="234">
        <v>1.8721030000000001</v>
      </c>
      <c r="AX88" s="234">
        <v>1.7313210000000001</v>
      </c>
      <c r="AY88" s="234">
        <v>1.9722949999999999</v>
      </c>
      <c r="AZ88" s="234">
        <v>1.792996</v>
      </c>
      <c r="BA88" s="234">
        <v>1.845812</v>
      </c>
      <c r="BB88" s="235"/>
      <c r="BC88" s="234">
        <v>1.695654</v>
      </c>
      <c r="BD88" s="234">
        <v>1.799539</v>
      </c>
      <c r="BE88" s="234">
        <v>1.8406940000000001</v>
      </c>
      <c r="BF88" s="234">
        <v>1.6958420000000001</v>
      </c>
      <c r="BG88" s="234">
        <v>1.7412859999999999</v>
      </c>
      <c r="BH88" s="234">
        <v>1.7864139999999999</v>
      </c>
      <c r="BI88" s="234">
        <v>1.9999929999999999</v>
      </c>
      <c r="BJ88" s="234">
        <v>1.763131</v>
      </c>
      <c r="BK88" s="234">
        <v>1.7550859999999999</v>
      </c>
      <c r="BL88" s="234">
        <v>1.7947059999999999</v>
      </c>
      <c r="BM88" s="234">
        <v>1.8353980000000001</v>
      </c>
      <c r="BN88" s="234">
        <v>1.815002</v>
      </c>
      <c r="BO88" s="234">
        <v>4.8809430000000003</v>
      </c>
      <c r="BP88" s="234">
        <v>5.4007399999999999</v>
      </c>
      <c r="BQ88" s="234">
        <v>5.5163120000000001</v>
      </c>
      <c r="BR88" s="234">
        <v>4.8798769999999996</v>
      </c>
      <c r="BS88" s="234">
        <v>4.9904479999999998</v>
      </c>
      <c r="BT88" s="234">
        <v>5.0986989999999999</v>
      </c>
      <c r="BU88" s="234">
        <v>5.603847</v>
      </c>
      <c r="BV88" s="234">
        <v>5.0461720000000003</v>
      </c>
      <c r="BW88" s="234">
        <v>5.0435920000000003</v>
      </c>
      <c r="BX88" s="234">
        <v>5.1363560000000001</v>
      </c>
      <c r="BY88" s="234">
        <v>5.2333660000000002</v>
      </c>
      <c r="BZ88" s="234">
        <v>5.1848580000000002</v>
      </c>
      <c r="CA88" s="234">
        <v>0.56339600000000001</v>
      </c>
      <c r="CB88" s="234">
        <v>0.565724</v>
      </c>
      <c r="CC88" s="234">
        <v>0.55820700000000001</v>
      </c>
      <c r="CD88" s="234">
        <v>0.65419899999999997</v>
      </c>
      <c r="CE88" s="234">
        <v>0.63497300000000001</v>
      </c>
      <c r="CF88" s="234">
        <v>0.56025700000000001</v>
      </c>
      <c r="CG88" s="234">
        <v>0.56353200000000003</v>
      </c>
      <c r="CH88" s="234">
        <v>0.56016299999999997</v>
      </c>
      <c r="CI88" s="234">
        <v>1.8895169999999999</v>
      </c>
      <c r="CJ88" s="234">
        <v>1.9772069999999999</v>
      </c>
      <c r="CK88" s="234">
        <v>2.0242040000000001</v>
      </c>
      <c r="CL88" s="234">
        <v>1.8896980000000001</v>
      </c>
      <c r="CM88" s="234">
        <v>1.940035</v>
      </c>
      <c r="CN88" s="234">
        <v>1.9916929999999999</v>
      </c>
      <c r="CO88" s="234">
        <v>2.1822509999999999</v>
      </c>
      <c r="CP88" s="234">
        <v>1.965509</v>
      </c>
      <c r="CQ88" s="234">
        <v>1.9576249999999999</v>
      </c>
      <c r="CR88" s="234">
        <v>2.000686</v>
      </c>
      <c r="CS88" s="234">
        <v>2.0453899999999998</v>
      </c>
      <c r="CT88" s="234">
        <v>2.0226739999999999</v>
      </c>
      <c r="CU88" s="234">
        <v>3.423664</v>
      </c>
      <c r="CV88" s="234">
        <v>3.4295550000000001</v>
      </c>
      <c r="CW88" s="234">
        <v>4.2567259999999996</v>
      </c>
      <c r="CX88" s="234">
        <v>3.379982</v>
      </c>
      <c r="CY88" s="234">
        <v>3.802413</v>
      </c>
      <c r="CZ88" s="234">
        <v>3.9208099999999999</v>
      </c>
      <c r="DA88" s="234">
        <v>4.397888</v>
      </c>
      <c r="DB88" s="234">
        <v>3.3700489999999999</v>
      </c>
      <c r="DC88" s="234">
        <v>1.497447</v>
      </c>
      <c r="DD88" s="234">
        <v>1.4991890000000001</v>
      </c>
      <c r="DE88" s="234">
        <v>1.494785</v>
      </c>
      <c r="DF88" s="234">
        <v>1.619842</v>
      </c>
      <c r="DG88" s="234">
        <v>1.601172</v>
      </c>
      <c r="DH88" s="234">
        <v>1.496529</v>
      </c>
      <c r="DI88" s="234">
        <v>1.497458</v>
      </c>
      <c r="DJ88" s="234">
        <v>1.4965550000000001</v>
      </c>
      <c r="DK88" s="236"/>
      <c r="DL88" s="234">
        <v>18.295300000000001</v>
      </c>
      <c r="DM88" s="234">
        <v>126.23400676747683</v>
      </c>
      <c r="DN88" s="234">
        <v>202.1156955396317</v>
      </c>
      <c r="DO88" s="234">
        <v>221.78481565245971</v>
      </c>
      <c r="DP88" s="234">
        <v>8.6067359999999997</v>
      </c>
      <c r="DQ88" s="234">
        <v>243.81798844596634</v>
      </c>
      <c r="DR88" s="234">
        <v>267.5218583986105</v>
      </c>
      <c r="DS88" s="234">
        <v>8.3956974284760779</v>
      </c>
      <c r="DT88" s="234">
        <v>9.6694815450844978</v>
      </c>
      <c r="DU88" s="237"/>
      <c r="DV88" s="238">
        <v>63596.78</v>
      </c>
      <c r="DW88" s="238">
        <v>6849.09</v>
      </c>
      <c r="DX88" s="238">
        <v>124638.743733</v>
      </c>
      <c r="DY88" s="238">
        <v>25434.89</v>
      </c>
      <c r="DZ88" s="238">
        <v>465338.94301700004</v>
      </c>
      <c r="EB88" s="239">
        <v>45989</v>
      </c>
      <c r="EC88" s="239">
        <v>46022</v>
      </c>
    </row>
    <row r="89" spans="1:141" x14ac:dyDescent="0.35">
      <c r="A89" s="233">
        <v>46022</v>
      </c>
      <c r="B89" s="234">
        <v>3.72818</v>
      </c>
      <c r="C89" s="234">
        <v>4.3674949999999999</v>
      </c>
      <c r="D89" s="234">
        <v>3.7281780000000002</v>
      </c>
      <c r="E89" s="234">
        <v>4.7419419999999999</v>
      </c>
      <c r="F89" s="234">
        <v>4.0680740000000002</v>
      </c>
      <c r="G89" s="234">
        <v>3.8432270000000002</v>
      </c>
      <c r="H89" s="234">
        <v>3.7421069999999999</v>
      </c>
      <c r="I89" s="234">
        <v>3.8578579999999998</v>
      </c>
      <c r="J89" s="234">
        <v>3.2371989999999999</v>
      </c>
      <c r="K89" s="234">
        <v>3.4635220000000002</v>
      </c>
      <c r="L89" s="234">
        <v>6.7863619999999996</v>
      </c>
      <c r="M89" s="234">
        <v>6.7071699999999996</v>
      </c>
      <c r="N89" s="234">
        <v>8.0031429999999997</v>
      </c>
      <c r="O89" s="234">
        <v>8.6326129999999992</v>
      </c>
      <c r="P89" s="234">
        <v>6.7863559999999996</v>
      </c>
      <c r="Q89" s="234">
        <v>8.8921069999999993</v>
      </c>
      <c r="R89" s="234">
        <v>7.572298</v>
      </c>
      <c r="S89" s="234">
        <v>7.1602199999999998</v>
      </c>
      <c r="T89" s="234">
        <v>7.6925679999999996</v>
      </c>
      <c r="U89" s="234">
        <v>7.9316409999999999</v>
      </c>
      <c r="V89" s="234">
        <v>8.0812100000000004</v>
      </c>
      <c r="W89" s="234">
        <v>0.86486700000000005</v>
      </c>
      <c r="X89" s="234">
        <v>1.1178680000000001</v>
      </c>
      <c r="Y89" s="234">
        <v>1.1747209999999999</v>
      </c>
      <c r="Z89" s="234">
        <v>0.86486799999999997</v>
      </c>
      <c r="AA89" s="234">
        <v>0.96401099999999995</v>
      </c>
      <c r="AB89" s="234">
        <v>1.2388509999999999</v>
      </c>
      <c r="AC89" s="234">
        <v>1.0078640000000001</v>
      </c>
      <c r="AD89" s="234">
        <v>0.95328400000000002</v>
      </c>
      <c r="AE89" s="234">
        <v>0.93441600000000002</v>
      </c>
      <c r="AF89" s="234">
        <v>1.0919620000000001</v>
      </c>
      <c r="AG89" s="234">
        <v>0.99501099999999998</v>
      </c>
      <c r="AH89" s="234">
        <v>1.0473220000000001</v>
      </c>
      <c r="AI89" s="234">
        <v>1.1503570000000001</v>
      </c>
      <c r="AJ89" s="234">
        <v>1.047064</v>
      </c>
      <c r="AK89" s="234">
        <v>1.26</v>
      </c>
      <c r="AL89" s="234">
        <v>1.1267100000000001</v>
      </c>
      <c r="AM89" s="234">
        <v>1.0480290000000001</v>
      </c>
      <c r="AN89" s="234">
        <v>1.061574</v>
      </c>
      <c r="AO89" s="234">
        <v>1.062452</v>
      </c>
      <c r="AP89" s="234">
        <v>1.840387</v>
      </c>
      <c r="AQ89" s="234">
        <v>1.889707</v>
      </c>
      <c r="AR89" s="234">
        <v>1.688167</v>
      </c>
      <c r="AS89" s="234">
        <v>1.8461669999999999</v>
      </c>
      <c r="AT89" s="234">
        <v>1.9315359999999999</v>
      </c>
      <c r="AU89" s="234">
        <v>1.765182</v>
      </c>
      <c r="AV89" s="234">
        <v>2.0066190000000002</v>
      </c>
      <c r="AW89" s="234">
        <v>1.8832040000000001</v>
      </c>
      <c r="AX89" s="234">
        <v>1.7396670000000001</v>
      </c>
      <c r="AY89" s="234">
        <v>1.983376</v>
      </c>
      <c r="AZ89" s="234">
        <v>1.802678</v>
      </c>
      <c r="BA89" s="234">
        <v>1.856144</v>
      </c>
      <c r="BB89" s="235"/>
      <c r="BC89" s="234">
        <v>1.6870259999999999</v>
      </c>
      <c r="BD89" s="234">
        <v>1.7912939999999999</v>
      </c>
      <c r="BE89" s="234">
        <v>1.8327290000000001</v>
      </c>
      <c r="BF89" s="234">
        <v>1.6872130000000001</v>
      </c>
      <c r="BG89" s="234">
        <v>1.732896</v>
      </c>
      <c r="BH89" s="234">
        <v>1.778268</v>
      </c>
      <c r="BI89" s="234">
        <v>1.993598</v>
      </c>
      <c r="BJ89" s="234">
        <v>1.7548550000000001</v>
      </c>
      <c r="BK89" s="234">
        <v>1.746845</v>
      </c>
      <c r="BL89" s="234">
        <v>1.7867010000000001</v>
      </c>
      <c r="BM89" s="234">
        <v>1.827617</v>
      </c>
      <c r="BN89" s="234">
        <v>1.8071010000000001</v>
      </c>
      <c r="BO89" s="234">
        <v>4.8020550000000002</v>
      </c>
      <c r="BP89" s="234">
        <v>5.3155000000000001</v>
      </c>
      <c r="BQ89" s="234">
        <v>5.4306330000000003</v>
      </c>
      <c r="BR89" s="234">
        <v>4.801005</v>
      </c>
      <c r="BS89" s="234">
        <v>4.9111019999999996</v>
      </c>
      <c r="BT89" s="234">
        <v>5.0189199999999996</v>
      </c>
      <c r="BU89" s="234">
        <v>5.5225660000000003</v>
      </c>
      <c r="BV89" s="234">
        <v>4.9666030000000001</v>
      </c>
      <c r="BW89" s="234">
        <v>4.9640639999999996</v>
      </c>
      <c r="BX89" s="234">
        <v>5.0564660000000003</v>
      </c>
      <c r="BY89" s="234">
        <v>5.1531010000000004</v>
      </c>
      <c r="BZ89" s="234">
        <v>5.1047479999999998</v>
      </c>
      <c r="CA89" s="234">
        <v>0.55396199999999995</v>
      </c>
      <c r="CB89" s="234">
        <v>0.55626399999999998</v>
      </c>
      <c r="CC89" s="234">
        <v>0.54872799999999999</v>
      </c>
      <c r="CD89" s="234">
        <v>0.64440600000000003</v>
      </c>
      <c r="CE89" s="234">
        <v>0.62517599999999995</v>
      </c>
      <c r="CF89" s="234">
        <v>0.55075499999999999</v>
      </c>
      <c r="CG89" s="234">
        <v>0.554095</v>
      </c>
      <c r="CH89" s="234">
        <v>0.55067500000000003</v>
      </c>
      <c r="CI89" s="234">
        <v>1.8739140000000001</v>
      </c>
      <c r="CJ89" s="234">
        <v>1.9616739999999999</v>
      </c>
      <c r="CK89" s="234">
        <v>2.0088360000000001</v>
      </c>
      <c r="CL89" s="234">
        <v>1.874093</v>
      </c>
      <c r="CM89" s="234">
        <v>1.9245300000000001</v>
      </c>
      <c r="CN89" s="234">
        <v>1.976305</v>
      </c>
      <c r="CO89" s="234">
        <v>2.1678190000000002</v>
      </c>
      <c r="CP89" s="234">
        <v>1.950062</v>
      </c>
      <c r="CQ89" s="234">
        <v>1.9422360000000001</v>
      </c>
      <c r="CR89" s="234">
        <v>1.985411</v>
      </c>
      <c r="CS89" s="234">
        <v>2.0302389999999999</v>
      </c>
      <c r="CT89" s="234">
        <v>2.0074589999999999</v>
      </c>
      <c r="CU89" s="234">
        <v>3.4533520000000002</v>
      </c>
      <c r="CV89" s="234">
        <v>3.4593919999999998</v>
      </c>
      <c r="CW89" s="234">
        <v>4.3034350000000003</v>
      </c>
      <c r="CX89" s="234">
        <v>3.4076050000000002</v>
      </c>
      <c r="CY89" s="234">
        <v>3.8402910000000001</v>
      </c>
      <c r="CZ89" s="234">
        <v>3.959924</v>
      </c>
      <c r="DA89" s="234">
        <v>4.4494819999999997</v>
      </c>
      <c r="DB89" s="234">
        <v>3.397491</v>
      </c>
      <c r="DC89" s="234">
        <v>1.4686630000000001</v>
      </c>
      <c r="DD89" s="234">
        <v>1.47045</v>
      </c>
      <c r="DE89" s="234">
        <v>1.465935</v>
      </c>
      <c r="DF89" s="234">
        <v>1.591621</v>
      </c>
      <c r="DG89" s="234">
        <v>1.572751</v>
      </c>
      <c r="DH89" s="234">
        <v>1.467724</v>
      </c>
      <c r="DI89" s="234">
        <v>1.468674</v>
      </c>
      <c r="DJ89" s="234">
        <v>1.467757</v>
      </c>
      <c r="DK89" s="236"/>
      <c r="DL89" s="234">
        <v>18.007999999999999</v>
      </c>
      <c r="DM89" s="234">
        <v>126.44923574901539</v>
      </c>
      <c r="DN89" s="234">
        <v>203.12728459580754</v>
      </c>
      <c r="DO89" s="234">
        <v>222.99650002864098</v>
      </c>
      <c r="DP89" s="234">
        <v>8.6653870000000008</v>
      </c>
      <c r="DQ89" s="234">
        <v>245.37578221047903</v>
      </c>
      <c r="DR89" s="234">
        <v>269.35371432399495</v>
      </c>
      <c r="DS89" s="234">
        <v>8.4469531612769249</v>
      </c>
      <c r="DT89" s="234">
        <v>9.7329455756254024</v>
      </c>
      <c r="DU89" s="237"/>
      <c r="DV89" s="238">
        <v>64308.29</v>
      </c>
      <c r="DW89" s="238">
        <v>6845.5</v>
      </c>
      <c r="DX89" s="238">
        <v>123273.764</v>
      </c>
      <c r="DY89" s="238">
        <v>25249.85</v>
      </c>
      <c r="DZ89" s="238">
        <v>454699.29879999993</v>
      </c>
      <c r="EB89" s="239">
        <v>46022</v>
      </c>
      <c r="EC89" s="239">
        <v>46052</v>
      </c>
    </row>
    <row r="90" spans="1:141" x14ac:dyDescent="0.35">
      <c r="A90" s="233">
        <v>46052</v>
      </c>
      <c r="B90" s="234">
        <v>3.7736619999999998</v>
      </c>
      <c r="C90" s="234">
        <v>4.4246129999999999</v>
      </c>
      <c r="D90" s="234">
        <v>3.7736589999999999</v>
      </c>
      <c r="E90" s="234">
        <v>4.809825</v>
      </c>
      <c r="F90" s="234">
        <v>4.1221940000000004</v>
      </c>
      <c r="G90" s="234">
        <v>3.8926509999999999</v>
      </c>
      <c r="H90" s="234">
        <v>3.7877710000000002</v>
      </c>
      <c r="I90" s="234">
        <v>3.907502</v>
      </c>
      <c r="J90" s="234">
        <v>3.2409780000000001</v>
      </c>
      <c r="K90" s="234">
        <v>3.4703029999999999</v>
      </c>
      <c r="L90" s="234">
        <v>6.8145150000000001</v>
      </c>
      <c r="M90" s="234">
        <v>6.7341920000000002</v>
      </c>
      <c r="N90" s="234">
        <v>8.0436189999999996</v>
      </c>
      <c r="O90" s="234">
        <v>8.6873100000000001</v>
      </c>
      <c r="P90" s="234">
        <v>6.8145090000000001</v>
      </c>
      <c r="Q90" s="234">
        <v>8.9502679999999994</v>
      </c>
      <c r="R90" s="234">
        <v>7.6141040000000002</v>
      </c>
      <c r="S90" s="234">
        <v>7.1964329999999999</v>
      </c>
      <c r="T90" s="234">
        <v>7.7312019999999997</v>
      </c>
      <c r="U90" s="234">
        <v>7.9757239999999996</v>
      </c>
      <c r="V90" s="234">
        <v>8.1282789999999991</v>
      </c>
      <c r="W90" s="234">
        <v>0.86806399999999995</v>
      </c>
      <c r="X90" s="234">
        <v>1.1236889999999999</v>
      </c>
      <c r="Y90" s="234">
        <v>1.1811389999999999</v>
      </c>
      <c r="Z90" s="234">
        <v>0.86806499999999998</v>
      </c>
      <c r="AA90" s="234">
        <v>0.96814100000000003</v>
      </c>
      <c r="AB90" s="234">
        <v>1.246823</v>
      </c>
      <c r="AC90" s="234">
        <v>1.0135000000000001</v>
      </c>
      <c r="AD90" s="234">
        <v>0.95793399999999995</v>
      </c>
      <c r="AE90" s="234">
        <v>0.93816100000000002</v>
      </c>
      <c r="AF90" s="234">
        <v>1.0972839999999999</v>
      </c>
      <c r="AG90" s="234">
        <v>0.99974200000000002</v>
      </c>
      <c r="AH90" s="234">
        <v>1.0147930000000001</v>
      </c>
      <c r="AI90" s="234">
        <v>1.114986</v>
      </c>
      <c r="AJ90" s="234">
        <v>1.014543</v>
      </c>
      <c r="AK90" s="234">
        <v>1.222556</v>
      </c>
      <c r="AL90" s="234">
        <v>1.092684</v>
      </c>
      <c r="AM90" s="234">
        <v>1.0156069999999999</v>
      </c>
      <c r="AN90" s="234">
        <v>1.0286059999999999</v>
      </c>
      <c r="AO90" s="234">
        <v>1.0296019999999999</v>
      </c>
      <c r="AP90" s="234">
        <v>1.8493200000000001</v>
      </c>
      <c r="AQ90" s="234">
        <v>1.9007970000000001</v>
      </c>
      <c r="AR90" s="234">
        <v>1.6953830000000001</v>
      </c>
      <c r="AS90" s="234">
        <v>1.8551329999999999</v>
      </c>
      <c r="AT90" s="234">
        <v>1.9414750000000001</v>
      </c>
      <c r="AU90" s="234">
        <v>1.773242</v>
      </c>
      <c r="AV90" s="234">
        <v>2.0198299999999998</v>
      </c>
      <c r="AW90" s="234">
        <v>1.8938219999999999</v>
      </c>
      <c r="AX90" s="234">
        <v>1.747773</v>
      </c>
      <c r="AY90" s="234">
        <v>1.994246</v>
      </c>
      <c r="AZ90" s="234">
        <v>1.8118609999999999</v>
      </c>
      <c r="BA90" s="234">
        <v>1.866263</v>
      </c>
      <c r="BB90" s="235"/>
      <c r="BC90" s="234">
        <v>1.686013</v>
      </c>
      <c r="BD90" s="234">
        <v>1.7915410000000001</v>
      </c>
      <c r="BE90" s="234">
        <v>1.833447</v>
      </c>
      <c r="BF90" s="234">
        <v>1.6861999999999999</v>
      </c>
      <c r="BG90" s="234">
        <v>1.732334</v>
      </c>
      <c r="BH90" s="234">
        <v>1.7781659999999999</v>
      </c>
      <c r="BI90" s="234">
        <v>1.996259</v>
      </c>
      <c r="BJ90" s="234">
        <v>1.7545109999999999</v>
      </c>
      <c r="BK90" s="234">
        <v>1.746499</v>
      </c>
      <c r="BL90" s="234">
        <v>1.7867770000000001</v>
      </c>
      <c r="BM90" s="234">
        <v>1.8281099999999999</v>
      </c>
      <c r="BN90" s="234">
        <v>1.8073779999999999</v>
      </c>
      <c r="BO90" s="234">
        <v>4.6983309999999996</v>
      </c>
      <c r="BP90" s="234">
        <v>5.2031689999999999</v>
      </c>
      <c r="BQ90" s="234">
        <v>5.3172100000000002</v>
      </c>
      <c r="BR90" s="234">
        <v>4.6973039999999999</v>
      </c>
      <c r="BS90" s="234">
        <v>4.8063159999999998</v>
      </c>
      <c r="BT90" s="234">
        <v>4.9131049999999998</v>
      </c>
      <c r="BU90" s="234">
        <v>5.4124499999999998</v>
      </c>
      <c r="BV90" s="234">
        <v>4.8612869999999999</v>
      </c>
      <c r="BW90" s="234">
        <v>4.8588009999999997</v>
      </c>
      <c r="BX90" s="234">
        <v>4.9503349999999999</v>
      </c>
      <c r="BY90" s="234">
        <v>5.046068</v>
      </c>
      <c r="BZ90" s="234">
        <v>4.9981359999999997</v>
      </c>
      <c r="CA90" s="234">
        <v>0.54526699999999995</v>
      </c>
      <c r="CB90" s="234">
        <v>0.54755699999999996</v>
      </c>
      <c r="CC90" s="234">
        <v>0.54011500000000001</v>
      </c>
      <c r="CD90" s="234">
        <v>0.63544900000000004</v>
      </c>
      <c r="CE90" s="234">
        <v>0.61633800000000005</v>
      </c>
      <c r="CF90" s="234">
        <v>0.542134</v>
      </c>
      <c r="CG90" s="234">
        <v>0.54539800000000005</v>
      </c>
      <c r="CH90" s="234">
        <v>0.54206100000000002</v>
      </c>
      <c r="CI90" s="234">
        <v>1.865218</v>
      </c>
      <c r="CJ90" s="234">
        <v>1.9536150000000001</v>
      </c>
      <c r="CK90" s="234">
        <v>2.0011160000000001</v>
      </c>
      <c r="CL90" s="234">
        <v>1.865397</v>
      </c>
      <c r="CM90" s="234">
        <v>1.91612</v>
      </c>
      <c r="CN90" s="234">
        <v>1.9682029999999999</v>
      </c>
      <c r="CO90" s="234">
        <v>2.161375</v>
      </c>
      <c r="CP90" s="234">
        <v>1.9418040000000001</v>
      </c>
      <c r="CQ90" s="234">
        <v>1.9340109999999999</v>
      </c>
      <c r="CR90" s="234">
        <v>1.977455</v>
      </c>
      <c r="CS90" s="234">
        <v>2.0225680000000001</v>
      </c>
      <c r="CT90" s="234">
        <v>1.999644</v>
      </c>
      <c r="CU90" s="234">
        <v>3.6129910000000001</v>
      </c>
      <c r="CV90" s="234">
        <v>3.619526</v>
      </c>
      <c r="CW90" s="234">
        <v>4.5144000000000002</v>
      </c>
      <c r="CX90" s="234">
        <v>3.564835</v>
      </c>
      <c r="CY90" s="234">
        <v>4.0229429999999997</v>
      </c>
      <c r="CZ90" s="234">
        <v>4.150023</v>
      </c>
      <c r="DA90" s="234">
        <v>4.6694269999999998</v>
      </c>
      <c r="DB90" s="234">
        <v>3.5540470000000002</v>
      </c>
      <c r="DC90" s="234">
        <v>1.4266490000000001</v>
      </c>
      <c r="DD90" s="234">
        <v>1.428528</v>
      </c>
      <c r="DE90" s="234">
        <v>1.4239980000000001</v>
      </c>
      <c r="DF90" s="234">
        <v>1.5489980000000001</v>
      </c>
      <c r="DG90" s="234">
        <v>1.5301800000000001</v>
      </c>
      <c r="DH90" s="234">
        <v>1.4258789999999999</v>
      </c>
      <c r="DI90" s="234">
        <v>1.4266589999999999</v>
      </c>
      <c r="DJ90" s="234">
        <v>1.4259170000000001</v>
      </c>
      <c r="DK90" s="236"/>
      <c r="DL90" s="234">
        <v>17.420100000000001</v>
      </c>
      <c r="DM90" s="234">
        <v>126.64207083353263</v>
      </c>
      <c r="DN90" s="234">
        <v>203.9888828279681</v>
      </c>
      <c r="DO90" s="234">
        <v>224.10962422461731</v>
      </c>
      <c r="DP90" s="234">
        <v>8.6808999999999994</v>
      </c>
      <c r="DQ90" s="234">
        <v>246.68445304893493</v>
      </c>
      <c r="DR90" s="234">
        <v>270.99228275279927</v>
      </c>
      <c r="DS90" s="234">
        <v>8.4899094376658351</v>
      </c>
      <c r="DT90" s="234">
        <v>9.7897413684531678</v>
      </c>
      <c r="DU90" s="237"/>
      <c r="DV90" s="238">
        <v>67598.95</v>
      </c>
      <c r="DW90" s="238">
        <v>6939.03</v>
      </c>
      <c r="DX90" s="238">
        <v>120878.59650300001</v>
      </c>
      <c r="DY90" s="238">
        <v>25552.39</v>
      </c>
      <c r="DZ90" s="238">
        <v>445125.18903900002</v>
      </c>
      <c r="EB90" s="239">
        <v>46052</v>
      </c>
      <c r="EC90" s="239">
        <v>46080</v>
      </c>
    </row>
    <row r="91" spans="1:141" x14ac:dyDescent="0.35">
      <c r="A91" s="233">
        <v>46080</v>
      </c>
      <c r="B91" s="234">
        <v>3.8173710000000001</v>
      </c>
      <c r="C91" s="234">
        <v>4.4791049999999997</v>
      </c>
      <c r="D91" s="234">
        <v>3.8173689999999998</v>
      </c>
      <c r="E91" s="234">
        <v>4.8740790000000001</v>
      </c>
      <c r="F91" s="234">
        <v>4.1737770000000003</v>
      </c>
      <c r="G91" s="234">
        <v>3.93988</v>
      </c>
      <c r="H91" s="234">
        <v>3.831655</v>
      </c>
      <c r="I91" s="234">
        <v>3.9549180000000002</v>
      </c>
      <c r="J91" s="234">
        <v>3.2303039999999998</v>
      </c>
      <c r="K91" s="234">
        <v>3.4611689999999999</v>
      </c>
      <c r="L91" s="234">
        <v>6.8382100000000001</v>
      </c>
      <c r="M91" s="234">
        <v>6.7568260000000002</v>
      </c>
      <c r="N91" s="234">
        <v>8.0775900000000007</v>
      </c>
      <c r="O91" s="234">
        <v>8.7333630000000007</v>
      </c>
      <c r="P91" s="234">
        <v>6.8382050000000003</v>
      </c>
      <c r="Q91" s="234">
        <v>8.9992599999999996</v>
      </c>
      <c r="R91" s="234">
        <v>7.6493799999999998</v>
      </c>
      <c r="S91" s="234">
        <v>7.2268270000000001</v>
      </c>
      <c r="T91" s="234">
        <v>7.7637660000000004</v>
      </c>
      <c r="U91" s="234">
        <v>8.0129169999999998</v>
      </c>
      <c r="V91" s="234">
        <v>8.1678870000000003</v>
      </c>
      <c r="W91" s="234">
        <v>0.87070400000000003</v>
      </c>
      <c r="X91" s="234">
        <v>1.1285350000000001</v>
      </c>
      <c r="Y91" s="234">
        <v>1.1864859999999999</v>
      </c>
      <c r="Z91" s="234">
        <v>0.87070499999999995</v>
      </c>
      <c r="AA91" s="234">
        <v>0.97156500000000001</v>
      </c>
      <c r="AB91" s="234">
        <v>1.2534890000000001</v>
      </c>
      <c r="AC91" s="234">
        <v>1.0182009999999999</v>
      </c>
      <c r="AD91" s="234">
        <v>0.961808</v>
      </c>
      <c r="AE91" s="234">
        <v>0.94125999999999999</v>
      </c>
      <c r="AF91" s="234">
        <v>1.101709</v>
      </c>
      <c r="AG91" s="234">
        <v>1.0036830000000001</v>
      </c>
      <c r="AH91" s="234">
        <v>1.0065519999999999</v>
      </c>
      <c r="AI91" s="234">
        <v>1.106233</v>
      </c>
      <c r="AJ91" s="234">
        <v>1.0063040000000001</v>
      </c>
      <c r="AK91" s="234">
        <v>1.214051</v>
      </c>
      <c r="AL91" s="234">
        <v>1.0846229999999999</v>
      </c>
      <c r="AM91" s="234">
        <v>1.007468</v>
      </c>
      <c r="AN91" s="234">
        <v>1.020257</v>
      </c>
      <c r="AO91" s="234">
        <v>1.0213589999999999</v>
      </c>
      <c r="AP91" s="234">
        <v>1.856773</v>
      </c>
      <c r="AQ91" s="234">
        <v>1.9100820000000001</v>
      </c>
      <c r="AR91" s="234">
        <v>1.7013860000000001</v>
      </c>
      <c r="AS91" s="234">
        <v>1.8626130000000001</v>
      </c>
      <c r="AT91" s="234">
        <v>1.949776</v>
      </c>
      <c r="AU91" s="234">
        <v>1.7799579999999999</v>
      </c>
      <c r="AV91" s="234">
        <v>2.0309140000000001</v>
      </c>
      <c r="AW91" s="234">
        <v>1.9027069999999999</v>
      </c>
      <c r="AX91" s="234">
        <v>1.7545280000000001</v>
      </c>
      <c r="AY91" s="234">
        <v>2.0033349999999999</v>
      </c>
      <c r="AZ91" s="234">
        <v>1.819529</v>
      </c>
      <c r="BA91" s="234">
        <v>1.8747240000000001</v>
      </c>
      <c r="BB91" s="235"/>
      <c r="BC91" s="234">
        <v>1.6862950000000001</v>
      </c>
      <c r="BD91" s="234">
        <v>1.7929440000000001</v>
      </c>
      <c r="BE91" s="234">
        <v>1.8352740000000001</v>
      </c>
      <c r="BF91" s="234">
        <v>1.686482</v>
      </c>
      <c r="BG91" s="234">
        <v>1.7330300000000001</v>
      </c>
      <c r="BH91" s="234">
        <v>1.7792779999999999</v>
      </c>
      <c r="BI91" s="234">
        <v>1.999854</v>
      </c>
      <c r="BJ91" s="234">
        <v>1.755404</v>
      </c>
      <c r="BK91" s="234">
        <v>1.747385</v>
      </c>
      <c r="BL91" s="234">
        <v>1.7880480000000001</v>
      </c>
      <c r="BM91" s="234">
        <v>1.8297589999999999</v>
      </c>
      <c r="BN91" s="234">
        <v>1.8088280000000001</v>
      </c>
      <c r="BO91" s="234">
        <v>4.600168</v>
      </c>
      <c r="BP91" s="234">
        <v>5.0966750000000003</v>
      </c>
      <c r="BQ91" s="234">
        <v>5.2094969999999998</v>
      </c>
      <c r="BR91" s="234">
        <v>4.5991629999999999</v>
      </c>
      <c r="BS91" s="234">
        <v>4.7069700000000001</v>
      </c>
      <c r="BT91" s="234">
        <v>4.8126059999999997</v>
      </c>
      <c r="BU91" s="234">
        <v>5.3069800000000003</v>
      </c>
      <c r="BV91" s="234">
        <v>4.7613479999999999</v>
      </c>
      <c r="BW91" s="234">
        <v>4.7589129999999997</v>
      </c>
      <c r="BX91" s="234">
        <v>4.8494400000000004</v>
      </c>
      <c r="BY91" s="234">
        <v>4.9441550000000003</v>
      </c>
      <c r="BZ91" s="234">
        <v>4.8967710000000002</v>
      </c>
      <c r="CA91" s="234">
        <v>0.53547999999999996</v>
      </c>
      <c r="CB91" s="234">
        <v>0.53774699999999998</v>
      </c>
      <c r="CC91" s="234">
        <v>0.53042</v>
      </c>
      <c r="CD91" s="234">
        <v>0.62500299999999998</v>
      </c>
      <c r="CE91" s="234">
        <v>0.60608300000000004</v>
      </c>
      <c r="CF91" s="234">
        <v>0.53242100000000003</v>
      </c>
      <c r="CG91" s="234">
        <v>0.535609</v>
      </c>
      <c r="CH91" s="234">
        <v>0.53235200000000005</v>
      </c>
      <c r="CI91" s="234">
        <v>1.8580730000000001</v>
      </c>
      <c r="CJ91" s="234">
        <v>1.9470019999999999</v>
      </c>
      <c r="CK91" s="234">
        <v>1.9947870000000001</v>
      </c>
      <c r="CL91" s="234">
        <v>1.8582510000000001</v>
      </c>
      <c r="CM91" s="234">
        <v>1.9092169999999999</v>
      </c>
      <c r="CN91" s="234">
        <v>1.961562</v>
      </c>
      <c r="CO91" s="234">
        <v>2.156139</v>
      </c>
      <c r="CP91" s="234">
        <v>1.93503</v>
      </c>
      <c r="CQ91" s="234">
        <v>1.927268</v>
      </c>
      <c r="CR91" s="234">
        <v>1.9709369999999999</v>
      </c>
      <c r="CS91" s="234">
        <v>2.016289</v>
      </c>
      <c r="CT91" s="234">
        <v>1.993244</v>
      </c>
      <c r="CU91" s="234">
        <v>3.7903530000000001</v>
      </c>
      <c r="CV91" s="234">
        <v>3.797428</v>
      </c>
      <c r="CW91" s="234">
        <v>4.7469340000000004</v>
      </c>
      <c r="CX91" s="234">
        <v>3.739789</v>
      </c>
      <c r="CY91" s="234">
        <v>4.2249840000000001</v>
      </c>
      <c r="CZ91" s="234">
        <v>4.3602119999999998</v>
      </c>
      <c r="DA91" s="234">
        <v>4.9113439999999997</v>
      </c>
      <c r="DB91" s="234">
        <v>3.7282579999999998</v>
      </c>
      <c r="DC91" s="234">
        <v>1.3742810000000001</v>
      </c>
      <c r="DD91" s="234">
        <v>1.376185</v>
      </c>
      <c r="DE91" s="234">
        <v>1.3717250000000001</v>
      </c>
      <c r="DF91" s="234">
        <v>1.494483</v>
      </c>
      <c r="DG91" s="234">
        <v>1.475978</v>
      </c>
      <c r="DH91" s="234">
        <v>1.3736299999999999</v>
      </c>
      <c r="DI91" s="234">
        <v>1.3742909999999999</v>
      </c>
      <c r="DJ91" s="234">
        <v>1.3736649999999999</v>
      </c>
      <c r="DK91" s="236"/>
      <c r="DL91" s="234">
        <v>17.2318</v>
      </c>
      <c r="DM91" s="234">
        <v>126.82232471435236</v>
      </c>
      <c r="DN91" s="234">
        <v>204.78693266845397</v>
      </c>
      <c r="DO91" s="234">
        <v>225.14326761367997</v>
      </c>
      <c r="DP91" s="234">
        <v>8.7173549999999995</v>
      </c>
      <c r="DQ91" s="234">
        <v>247.91047478058812</v>
      </c>
      <c r="DR91" s="234">
        <v>272.52880899600768</v>
      </c>
      <c r="DS91" s="234">
        <v>8.5292813926830107</v>
      </c>
      <c r="DT91" s="234">
        <v>9.8419941130072868</v>
      </c>
      <c r="DU91" s="237"/>
      <c r="DV91" s="238">
        <v>71405.77</v>
      </c>
      <c r="DW91" s="238">
        <v>6878.88</v>
      </c>
      <c r="DX91" s="238">
        <v>118535.484384</v>
      </c>
      <c r="DY91" s="238">
        <v>24960.04</v>
      </c>
      <c r="DZ91" s="238">
        <v>430106.41727199999</v>
      </c>
      <c r="EB91" s="239">
        <v>46080</v>
      </c>
      <c r="EC91" s="239">
        <v>46112</v>
      </c>
    </row>
    <row r="92" spans="1:141" x14ac:dyDescent="0.35">
      <c r="A92" s="233">
        <v>46112</v>
      </c>
      <c r="B92" s="234">
        <v>3.7512699999999999</v>
      </c>
      <c r="C92" s="234">
        <v>4.4051280000000004</v>
      </c>
      <c r="D92" s="234">
        <v>3.751268</v>
      </c>
      <c r="E92" s="234">
        <v>4.799067</v>
      </c>
      <c r="F92" s="234">
        <v>4.1057040000000002</v>
      </c>
      <c r="G92" s="234">
        <v>3.8740250000000001</v>
      </c>
      <c r="H92" s="234">
        <v>3.7653180000000002</v>
      </c>
      <c r="I92" s="234">
        <v>3.8888259999999999</v>
      </c>
      <c r="J92" s="234">
        <v>3.2148599999999998</v>
      </c>
      <c r="K92" s="234">
        <v>3.4471639999999999</v>
      </c>
      <c r="L92" s="234">
        <v>6.8607699999999996</v>
      </c>
      <c r="M92" s="234">
        <v>6.7783379999999998</v>
      </c>
      <c r="N92" s="234">
        <v>8.1110369999999996</v>
      </c>
      <c r="O92" s="234">
        <v>8.7799840000000007</v>
      </c>
      <c r="P92" s="234">
        <v>6.8607649999999998</v>
      </c>
      <c r="Q92" s="234">
        <v>9.0490250000000003</v>
      </c>
      <c r="R92" s="234">
        <v>7.684456</v>
      </c>
      <c r="S92" s="234">
        <v>7.2567510000000004</v>
      </c>
      <c r="T92" s="234">
        <v>7.7957340000000004</v>
      </c>
      <c r="U92" s="234">
        <v>8.0499340000000004</v>
      </c>
      <c r="V92" s="234">
        <v>8.2075980000000008</v>
      </c>
      <c r="W92" s="234">
        <v>0.87366500000000002</v>
      </c>
      <c r="X92" s="234">
        <v>1.1339669999999999</v>
      </c>
      <c r="Y92" s="234">
        <v>1.1924809999999999</v>
      </c>
      <c r="Z92" s="234">
        <v>0.87366500000000002</v>
      </c>
      <c r="AA92" s="234">
        <v>0.97540300000000002</v>
      </c>
      <c r="AB92" s="234">
        <v>1.260964</v>
      </c>
      <c r="AC92" s="234">
        <v>1.0234719999999999</v>
      </c>
      <c r="AD92" s="234">
        <v>0.96613800000000005</v>
      </c>
      <c r="AE92" s="234">
        <v>0.94473499999999999</v>
      </c>
      <c r="AF92" s="234">
        <v>1.106671</v>
      </c>
      <c r="AG92" s="234">
        <v>1.0080929999999999</v>
      </c>
      <c r="AH92" s="234">
        <v>1.045866</v>
      </c>
      <c r="AI92" s="234">
        <v>1.1497999999999999</v>
      </c>
      <c r="AJ92" s="234">
        <v>1.045609</v>
      </c>
      <c r="AK92" s="234">
        <v>1.2631209999999999</v>
      </c>
      <c r="AL92" s="234">
        <v>1.1279250000000001</v>
      </c>
      <c r="AM92" s="234">
        <v>1.046948</v>
      </c>
      <c r="AN92" s="234">
        <v>1.060111</v>
      </c>
      <c r="AO92" s="234">
        <v>1.0614030000000001</v>
      </c>
      <c r="AP92" s="234">
        <v>1.864975</v>
      </c>
      <c r="AQ92" s="234">
        <v>1.9203349999999999</v>
      </c>
      <c r="AR92" s="234">
        <v>1.7079770000000001</v>
      </c>
      <c r="AS92" s="234">
        <v>1.8708450000000001</v>
      </c>
      <c r="AT92" s="234">
        <v>1.958923</v>
      </c>
      <c r="AU92" s="234">
        <v>1.7873399999999999</v>
      </c>
      <c r="AV92" s="234">
        <v>2.0431810000000001</v>
      </c>
      <c r="AW92" s="234">
        <v>1.9125129999999999</v>
      </c>
      <c r="AX92" s="234">
        <v>1.7619279999999999</v>
      </c>
      <c r="AY92" s="234">
        <v>2.0133320000000001</v>
      </c>
      <c r="AZ92" s="234">
        <v>1.827976</v>
      </c>
      <c r="BA92" s="234">
        <v>1.884034</v>
      </c>
      <c r="BB92" s="235"/>
      <c r="BC92" s="234">
        <v>1.667273</v>
      </c>
      <c r="BD92" s="234">
        <v>1.773933</v>
      </c>
      <c r="BE92" s="234">
        <v>1.8162400000000001</v>
      </c>
      <c r="BF92" s="234">
        <v>1.667459</v>
      </c>
      <c r="BG92" s="234">
        <v>1.7139260000000001</v>
      </c>
      <c r="BH92" s="234">
        <v>1.7601039999999999</v>
      </c>
      <c r="BI92" s="234">
        <v>1.9808840000000001</v>
      </c>
      <c r="BJ92" s="234">
        <v>1.736262</v>
      </c>
      <c r="BK92" s="234">
        <v>1.7283269999999999</v>
      </c>
      <c r="BL92" s="234">
        <v>1.768947</v>
      </c>
      <c r="BM92" s="234">
        <v>1.810597</v>
      </c>
      <c r="BN92" s="234">
        <v>1.78969</v>
      </c>
      <c r="BO92" s="234">
        <v>4.601877</v>
      </c>
      <c r="BP92" s="234">
        <v>5.1009700000000002</v>
      </c>
      <c r="BQ92" s="234">
        <v>5.2151240000000003</v>
      </c>
      <c r="BR92" s="234">
        <v>4.6008699999999996</v>
      </c>
      <c r="BS92" s="234">
        <v>4.7099089999999997</v>
      </c>
      <c r="BT92" s="234">
        <v>4.816783</v>
      </c>
      <c r="BU92" s="234">
        <v>5.3174169999999998</v>
      </c>
      <c r="BV92" s="234">
        <v>4.7649229999999996</v>
      </c>
      <c r="BW92" s="234">
        <v>4.762486</v>
      </c>
      <c r="BX92" s="234">
        <v>4.8540580000000002</v>
      </c>
      <c r="BY92" s="234">
        <v>4.9499029999999999</v>
      </c>
      <c r="BZ92" s="234">
        <v>4.901961</v>
      </c>
      <c r="CA92" s="234">
        <v>0.52881100000000003</v>
      </c>
      <c r="CB92" s="234">
        <v>0.53107300000000002</v>
      </c>
      <c r="CC92" s="234">
        <v>0.52368499999999996</v>
      </c>
      <c r="CD92" s="234">
        <v>0.61827600000000005</v>
      </c>
      <c r="CE92" s="234">
        <v>0.599275</v>
      </c>
      <c r="CF92" s="234">
        <v>0.52568400000000004</v>
      </c>
      <c r="CG92" s="234">
        <v>0.52893800000000002</v>
      </c>
      <c r="CH92" s="234">
        <v>0.52561599999999997</v>
      </c>
      <c r="CI92" s="234">
        <v>1.8360479999999999</v>
      </c>
      <c r="CJ92" s="234">
        <v>1.9248689999999999</v>
      </c>
      <c r="CK92" s="234">
        <v>1.972593</v>
      </c>
      <c r="CL92" s="234">
        <v>1.8362240000000001</v>
      </c>
      <c r="CM92" s="234">
        <v>1.8870659999999999</v>
      </c>
      <c r="CN92" s="234">
        <v>1.9392959999999999</v>
      </c>
      <c r="CO92" s="234">
        <v>2.1339250000000001</v>
      </c>
      <c r="CP92" s="234">
        <v>1.912822</v>
      </c>
      <c r="CQ92" s="234">
        <v>1.905149</v>
      </c>
      <c r="CR92" s="234">
        <v>1.948734</v>
      </c>
      <c r="CS92" s="234">
        <v>1.994</v>
      </c>
      <c r="CT92" s="234">
        <v>1.970998</v>
      </c>
      <c r="CU92" s="234">
        <v>3.6685110000000001</v>
      </c>
      <c r="CV92" s="234">
        <v>3.6756199999999999</v>
      </c>
      <c r="CW92" s="234">
        <v>4.6064559999999997</v>
      </c>
      <c r="CX92" s="234">
        <v>3.6198190000000001</v>
      </c>
      <c r="CY92" s="234">
        <v>4.0940779999999997</v>
      </c>
      <c r="CZ92" s="234">
        <v>4.2274029999999998</v>
      </c>
      <c r="DA92" s="234">
        <v>4.7671979999999996</v>
      </c>
      <c r="DB92" s="234">
        <v>3.6083949999999998</v>
      </c>
      <c r="DC92" s="234">
        <v>1.367758</v>
      </c>
      <c r="DD92" s="234">
        <v>1.3697619999999999</v>
      </c>
      <c r="DE92" s="234">
        <v>1.365127</v>
      </c>
      <c r="DF92" s="234">
        <v>1.4899929999999999</v>
      </c>
      <c r="DG92" s="234">
        <v>1.4710589999999999</v>
      </c>
      <c r="DH92" s="234">
        <v>1.367132</v>
      </c>
      <c r="DI92" s="234">
        <v>1.367769</v>
      </c>
      <c r="DJ92" s="234">
        <v>1.36717</v>
      </c>
      <c r="DK92" s="236"/>
      <c r="DL92" s="234">
        <v>17.9252</v>
      </c>
      <c r="DM92" s="234">
        <v>127.01960388613024</v>
      </c>
      <c r="DN92" s="234">
        <v>205.69527648535671</v>
      </c>
      <c r="DO92" s="234">
        <v>226.32201769923071</v>
      </c>
      <c r="DP92" s="234">
        <v>8.7853110000000001</v>
      </c>
      <c r="DQ92" s="234">
        <v>249.30758803401829</v>
      </c>
      <c r="DR92" s="234">
        <v>274.28268328679087</v>
      </c>
      <c r="DS92" s="234">
        <v>8.5738307770949262</v>
      </c>
      <c r="DT92" s="234">
        <v>9.9012735371048315</v>
      </c>
      <c r="DU92" s="237"/>
      <c r="DV92" s="238">
        <v>68610.720000000001</v>
      </c>
      <c r="DW92" s="238">
        <v>6528.52</v>
      </c>
      <c r="DX92" s="238">
        <v>117025.026704</v>
      </c>
      <c r="DY92" s="238">
        <v>23740.19</v>
      </c>
      <c r="DZ92" s="238">
        <v>425547.653788</v>
      </c>
      <c r="EB92" s="239">
        <v>46112</v>
      </c>
      <c r="EC92" s="239">
        <v>46142</v>
      </c>
    </row>
    <row r="93" spans="1:141" x14ac:dyDescent="0.35">
      <c r="A93" s="233">
        <v>46142</v>
      </c>
      <c r="B93" s="234">
        <v>3.7930280000000001</v>
      </c>
      <c r="C93" s="234">
        <v>4.4582519999999999</v>
      </c>
      <c r="D93" s="234">
        <v>3.7930259999999998</v>
      </c>
      <c r="E93" s="234">
        <v>4.8630579999999997</v>
      </c>
      <c r="F93" s="234">
        <v>4.1560949999999997</v>
      </c>
      <c r="G93" s="234">
        <v>3.9198629999999999</v>
      </c>
      <c r="H93" s="234">
        <v>3.8072430000000002</v>
      </c>
      <c r="I93" s="234">
        <v>3.9348320000000001</v>
      </c>
      <c r="J93" s="234">
        <v>3.1896239999999998</v>
      </c>
      <c r="K93" s="234">
        <v>3.4228519999999998</v>
      </c>
      <c r="L93" s="234">
        <v>6.8893319999999996</v>
      </c>
      <c r="M93" s="234">
        <v>6.8057629999999998</v>
      </c>
      <c r="N93" s="234">
        <v>8.1524040000000007</v>
      </c>
      <c r="O93" s="234">
        <v>8.8363390000000006</v>
      </c>
      <c r="P93" s="234">
        <v>6.8893259999999996</v>
      </c>
      <c r="Q93" s="234">
        <v>9.1090180000000007</v>
      </c>
      <c r="R93" s="234">
        <v>7.7273480000000001</v>
      </c>
      <c r="S93" s="234">
        <v>7.2937599999999998</v>
      </c>
      <c r="T93" s="234">
        <v>7.8352269999999997</v>
      </c>
      <c r="U93" s="234">
        <v>8.0951710000000006</v>
      </c>
      <c r="V93" s="234">
        <v>8.255922</v>
      </c>
      <c r="W93" s="234">
        <v>0.87674399999999997</v>
      </c>
      <c r="X93" s="234">
        <v>1.1397269999999999</v>
      </c>
      <c r="Y93" s="234">
        <v>1.198852</v>
      </c>
      <c r="Z93" s="234">
        <v>0.876745</v>
      </c>
      <c r="AA93" s="234">
        <v>0.979433</v>
      </c>
      <c r="AB93" s="234">
        <v>1.2689649999999999</v>
      </c>
      <c r="AC93" s="234">
        <v>1.0290820000000001</v>
      </c>
      <c r="AD93" s="234">
        <v>0.97070299999999998</v>
      </c>
      <c r="AE93" s="234">
        <v>0.94836699999999996</v>
      </c>
      <c r="AF93" s="234">
        <v>1.111915</v>
      </c>
      <c r="AG93" s="234">
        <v>1.0127349999999999</v>
      </c>
      <c r="AH93" s="234">
        <v>1.021037</v>
      </c>
      <c r="AI93" s="234">
        <v>1.122884</v>
      </c>
      <c r="AJ93" s="234">
        <v>1.020786</v>
      </c>
      <c r="AK93" s="234">
        <v>1.2349110000000001</v>
      </c>
      <c r="AL93" s="234">
        <v>1.102158</v>
      </c>
      <c r="AM93" s="234">
        <v>1.0222290000000001</v>
      </c>
      <c r="AN93" s="234">
        <v>1.034948</v>
      </c>
      <c r="AO93" s="234">
        <v>1.036362</v>
      </c>
      <c r="AP93" s="234">
        <v>1.873813</v>
      </c>
      <c r="AQ93" s="234">
        <v>1.9314439999999999</v>
      </c>
      <c r="AR93" s="234">
        <v>1.7150479999999999</v>
      </c>
      <c r="AS93" s="234">
        <v>1.8797159999999999</v>
      </c>
      <c r="AT93" s="234">
        <v>1.968796</v>
      </c>
      <c r="AU93" s="234">
        <v>1.7952790000000001</v>
      </c>
      <c r="AV93" s="234">
        <v>2.056508</v>
      </c>
      <c r="AW93" s="234">
        <v>1.9231259999999999</v>
      </c>
      <c r="AX93" s="234">
        <v>1.7698590000000001</v>
      </c>
      <c r="AY93" s="234">
        <v>2.0241099999999999</v>
      </c>
      <c r="AZ93" s="234">
        <v>1.8370919999999999</v>
      </c>
      <c r="BA93" s="234">
        <v>1.8940680000000001</v>
      </c>
      <c r="BB93" s="235"/>
      <c r="BC93" s="234">
        <v>1.7304790000000001</v>
      </c>
      <c r="BD93" s="234">
        <v>1.8425229999999999</v>
      </c>
      <c r="BE93" s="234">
        <v>1.88696</v>
      </c>
      <c r="BF93" s="234">
        <v>1.7306710000000001</v>
      </c>
      <c r="BG93" s="234">
        <v>1.779407</v>
      </c>
      <c r="BH93" s="234">
        <v>1.82785</v>
      </c>
      <c r="BI93" s="234">
        <v>2.0600779999999999</v>
      </c>
      <c r="BJ93" s="234">
        <v>1.8028329999999999</v>
      </c>
      <c r="BK93" s="234">
        <v>1.794591</v>
      </c>
      <c r="BL93" s="234">
        <v>1.8372059999999999</v>
      </c>
      <c r="BM93" s="234">
        <v>1.8809199999999999</v>
      </c>
      <c r="BN93" s="234">
        <v>1.8589739999999999</v>
      </c>
      <c r="BO93" s="234">
        <v>4.9213500000000003</v>
      </c>
      <c r="BP93" s="234">
        <v>5.4577020000000003</v>
      </c>
      <c r="BQ93" s="234">
        <v>5.5812989999999996</v>
      </c>
      <c r="BR93" s="234">
        <v>4.920274</v>
      </c>
      <c r="BS93" s="234">
        <v>5.0382809999999996</v>
      </c>
      <c r="BT93" s="234">
        <v>5.1539799999999998</v>
      </c>
      <c r="BU93" s="234">
        <v>5.6965139999999996</v>
      </c>
      <c r="BV93" s="234">
        <v>5.0978370000000002</v>
      </c>
      <c r="BW93" s="234">
        <v>5.0952289999999998</v>
      </c>
      <c r="BX93" s="234">
        <v>5.1943710000000003</v>
      </c>
      <c r="BY93" s="234">
        <v>5.2981499999999997</v>
      </c>
      <c r="BZ93" s="234">
        <v>5.2462299999999997</v>
      </c>
      <c r="CA93" s="234">
        <v>0.56615599999999999</v>
      </c>
      <c r="CB93" s="234">
        <v>0.568604</v>
      </c>
      <c r="CC93" s="234">
        <v>0.56066700000000003</v>
      </c>
      <c r="CD93" s="234">
        <v>0.66318600000000005</v>
      </c>
      <c r="CE93" s="234">
        <v>0.64264399999999999</v>
      </c>
      <c r="CF93" s="234">
        <v>0.56283399999999995</v>
      </c>
      <c r="CG93" s="234">
        <v>0.56629200000000002</v>
      </c>
      <c r="CH93" s="234">
        <v>0.56276700000000002</v>
      </c>
      <c r="CI93" s="234">
        <v>1.932717</v>
      </c>
      <c r="CJ93" s="234">
        <v>2.0272670000000002</v>
      </c>
      <c r="CK93" s="234">
        <v>2.0780970000000001</v>
      </c>
      <c r="CL93" s="234">
        <v>1.9329019999999999</v>
      </c>
      <c r="CM93" s="234">
        <v>1.9869760000000001</v>
      </c>
      <c r="CN93" s="234">
        <v>2.0425420000000001</v>
      </c>
      <c r="CO93" s="234">
        <v>2.2501519999999999</v>
      </c>
      <c r="CP93" s="234">
        <v>2.0143770000000001</v>
      </c>
      <c r="CQ93" s="234">
        <v>2.0063049999999998</v>
      </c>
      <c r="CR93" s="234">
        <v>2.0526779999999998</v>
      </c>
      <c r="CS93" s="234">
        <v>2.1008589999999998</v>
      </c>
      <c r="CT93" s="234">
        <v>2.0763790000000002</v>
      </c>
      <c r="CU93" s="234">
        <v>3.637035</v>
      </c>
      <c r="CV93" s="234">
        <v>3.6443780000000001</v>
      </c>
      <c r="CW93" s="234">
        <v>4.5792659999999996</v>
      </c>
      <c r="CX93" s="234">
        <v>3.588301</v>
      </c>
      <c r="CY93" s="234">
        <v>4.0643070000000003</v>
      </c>
      <c r="CZ93" s="234">
        <v>4.1983079999999999</v>
      </c>
      <c r="DA93" s="234">
        <v>4.7412960000000002</v>
      </c>
      <c r="DB93" s="234">
        <v>3.576705</v>
      </c>
      <c r="DC93" s="234">
        <v>1.540786</v>
      </c>
      <c r="DD93" s="234">
        <v>1.5431699999999999</v>
      </c>
      <c r="DE93" s="234">
        <v>1.5378210000000001</v>
      </c>
      <c r="DF93" s="234">
        <v>1.681705</v>
      </c>
      <c r="DG93" s="234">
        <v>1.659861</v>
      </c>
      <c r="DH93" s="234">
        <v>1.5402070000000001</v>
      </c>
      <c r="DI93" s="234">
        <v>1.5407979999999999</v>
      </c>
      <c r="DJ93" s="234">
        <v>1.5402469999999999</v>
      </c>
      <c r="DK93" s="236"/>
      <c r="DL93" s="234">
        <v>17.468800000000002</v>
      </c>
      <c r="DM93" s="234">
        <v>127.20484080846418</v>
      </c>
      <c r="DN93" s="234">
        <v>206.55062601007498</v>
      </c>
      <c r="DO93" s="234">
        <v>227.43288160277109</v>
      </c>
      <c r="DP93" s="234">
        <v>8.8344869999999993</v>
      </c>
      <c r="DQ93" s="234">
        <v>250.57940887995989</v>
      </c>
      <c r="DR93" s="234">
        <v>275.88762440830874</v>
      </c>
      <c r="DS93" s="234">
        <v>8.6142885410743446</v>
      </c>
      <c r="DT93" s="234">
        <v>9.9554211267608732</v>
      </c>
      <c r="DU93" s="237"/>
      <c r="DV93" s="238">
        <v>67858.09</v>
      </c>
      <c r="DW93" s="238">
        <v>7209.01</v>
      </c>
      <c r="DX93" s="238">
        <v>125932.75388800002</v>
      </c>
      <c r="DY93" s="238">
        <v>27452.12</v>
      </c>
      <c r="DZ93" s="238">
        <v>479555.59385600005</v>
      </c>
      <c r="EB93" s="239">
        <v>46142</v>
      </c>
      <c r="EC93" s="239">
        <v>0</v>
      </c>
    </row>
    <row r="94" spans="1:141" s="241" customFormat="1" x14ac:dyDescent="0.35">
      <c r="A94" s="240"/>
      <c r="DK94" s="242"/>
      <c r="DU94" s="243"/>
    </row>
    <row r="95" spans="1:141" s="212" customFormat="1" ht="46" x14ac:dyDescent="0.25">
      <c r="A95" s="244" t="s">
        <v>63</v>
      </c>
      <c r="B95" s="244" t="str">
        <f t="shared" ref="B95:AH95" si="0">+B4</f>
        <v>MULTIAR A</v>
      </c>
      <c r="C95" s="244" t="str">
        <f t="shared" si="0"/>
        <v>MULTIAR BE-1</v>
      </c>
      <c r="D95" s="244" t="str">
        <f t="shared" si="0"/>
        <v>MULTIAR BF-1</v>
      </c>
      <c r="E95" s="244" t="str">
        <f t="shared" si="0"/>
        <v>MULTIAR BF-F</v>
      </c>
      <c r="F95" s="244" t="str">
        <f t="shared" si="0"/>
        <v>MULTIAR BF-H</v>
      </c>
      <c r="G95" s="244" t="str">
        <f t="shared" si="0"/>
        <v>MULTIAR BF-T</v>
      </c>
      <c r="H95" s="244" t="str">
        <f t="shared" si="0"/>
        <v>MULTIAR BM-1</v>
      </c>
      <c r="I95" s="244" t="str">
        <f t="shared" si="0"/>
        <v>MULTIAR BM-T</v>
      </c>
      <c r="J95" s="244" t="str">
        <f t="shared" si="0"/>
        <v>MULTINS A</v>
      </c>
      <c r="K95" s="244" t="str">
        <f t="shared" si="0"/>
        <v>MULTINS BE-1</v>
      </c>
      <c r="L95" s="244" t="str">
        <f t="shared" si="0"/>
        <v>MULTIRE A</v>
      </c>
      <c r="M95" s="244" t="str">
        <f t="shared" ref="M95" si="1">+M4</f>
        <v>MULTIRE BE-0</v>
      </c>
      <c r="N95" s="244" t="str">
        <f t="shared" si="0"/>
        <v>MULTIRE BE-1</v>
      </c>
      <c r="O95" s="244" t="str">
        <f t="shared" si="0"/>
        <v>MULTIRE BE-2</v>
      </c>
      <c r="P95" s="244" t="str">
        <f t="shared" si="0"/>
        <v>MULTIRE BF-1</v>
      </c>
      <c r="Q95" s="244" t="str">
        <f t="shared" si="0"/>
        <v>MULTIRE BF-F</v>
      </c>
      <c r="R95" s="244" t="str">
        <f t="shared" si="0"/>
        <v>MULTIRE BF-H</v>
      </c>
      <c r="S95" s="244" t="str">
        <f t="shared" si="0"/>
        <v>MULTIRE BF-T</v>
      </c>
      <c r="T95" s="244" t="str">
        <f t="shared" si="0"/>
        <v>MULTIRE BM-1</v>
      </c>
      <c r="U95" s="244" t="str">
        <f t="shared" si="0"/>
        <v>MULTIRE BM-2</v>
      </c>
      <c r="V95" s="244" t="str">
        <f t="shared" si="0"/>
        <v>MULTIRE BM-T</v>
      </c>
      <c r="W95" s="244" t="str">
        <f t="shared" si="0"/>
        <v>MULTISI A</v>
      </c>
      <c r="X95" s="244" t="str">
        <f t="shared" si="0"/>
        <v>MULTISI BE-1</v>
      </c>
      <c r="Y95" s="244" t="str">
        <f t="shared" si="0"/>
        <v>MULTISI BE-2</v>
      </c>
      <c r="Z95" s="244" t="str">
        <f t="shared" si="0"/>
        <v>MULTISI BF-1</v>
      </c>
      <c r="AA95" s="244" t="str">
        <f t="shared" si="0"/>
        <v>MULTISI BF-2</v>
      </c>
      <c r="AB95" s="244" t="str">
        <f t="shared" si="0"/>
        <v>MULTISI BF-F</v>
      </c>
      <c r="AC95" s="244" t="str">
        <f t="shared" si="0"/>
        <v>MULTISI BF-H</v>
      </c>
      <c r="AD95" s="244" t="str">
        <f t="shared" si="0"/>
        <v>MULTISI BF-T</v>
      </c>
      <c r="AE95" s="244" t="str">
        <f t="shared" si="0"/>
        <v>MULTISI BM-1</v>
      </c>
      <c r="AF95" s="244" t="str">
        <f t="shared" si="0"/>
        <v>MULTISI BM-2</v>
      </c>
      <c r="AG95" s="244" t="str">
        <f t="shared" si="0"/>
        <v>MULTISI BM-T</v>
      </c>
      <c r="AH95" s="244" t="str">
        <f t="shared" si="0"/>
        <v>MULTIUS A</v>
      </c>
      <c r="AI95" s="244" t="str">
        <f t="shared" ref="AI95:BA95" si="2">+AI4</f>
        <v>MULTIUS BE-1</v>
      </c>
      <c r="AJ95" s="244" t="str">
        <f t="shared" si="2"/>
        <v>MULTIUS BF-1</v>
      </c>
      <c r="AK95" s="244" t="str">
        <f t="shared" si="2"/>
        <v>MULTIUS BF-F</v>
      </c>
      <c r="AL95" s="244" t="str">
        <f t="shared" si="2"/>
        <v>MULTIUS BF-H</v>
      </c>
      <c r="AM95" s="244" t="str">
        <f t="shared" si="2"/>
        <v>MULTIUS BF-T</v>
      </c>
      <c r="AN95" s="244" t="str">
        <f t="shared" si="2"/>
        <v>MULTIUS BM-1</v>
      </c>
      <c r="AO95" s="244" t="str">
        <f t="shared" si="2"/>
        <v>MULTIUS BM-T</v>
      </c>
      <c r="AP95" s="244" t="str">
        <f t="shared" si="2"/>
        <v>MVJER A</v>
      </c>
      <c r="AQ95" s="244" t="str">
        <f t="shared" si="2"/>
        <v>MVJER BE-1</v>
      </c>
      <c r="AR95" s="244" t="str">
        <f t="shared" si="2"/>
        <v>MVJER BF-1</v>
      </c>
      <c r="AS95" s="244" t="str">
        <f t="shared" si="2"/>
        <v>MVJER BF-14</v>
      </c>
      <c r="AT95" s="244" t="str">
        <f t="shared" si="2"/>
        <v>MVJER BF-28</v>
      </c>
      <c r="AU95" s="244" t="str">
        <f t="shared" si="2"/>
        <v>MVJER BF-7</v>
      </c>
      <c r="AV95" s="244" t="str">
        <f t="shared" si="2"/>
        <v>MVJER BF-F</v>
      </c>
      <c r="AW95" s="244" t="str">
        <f t="shared" si="2"/>
        <v>MVJER BF-H</v>
      </c>
      <c r="AX95" s="244" t="str">
        <f t="shared" si="2"/>
        <v>MVJER BF-T</v>
      </c>
      <c r="AY95" s="244" t="str">
        <f t="shared" si="2"/>
        <v>MVJER BF-T28</v>
      </c>
      <c r="AZ95" s="244" t="str">
        <f t="shared" si="2"/>
        <v>MVJER BM-1</v>
      </c>
      <c r="BA95" s="244" t="str">
        <f t="shared" si="2"/>
        <v>MVJER BM-T</v>
      </c>
      <c r="BB95" s="244"/>
      <c r="BC95" s="244" t="str">
        <f t="shared" ref="BC95:CH95" si="3">+BC4</f>
        <v>MULTIBA A</v>
      </c>
      <c r="BD95" s="244" t="str">
        <f t="shared" si="3"/>
        <v>MULTIBA BE-1</v>
      </c>
      <c r="BE95" s="244" t="str">
        <f t="shared" si="3"/>
        <v>MULTIBA BE-2</v>
      </c>
      <c r="BF95" s="244" t="str">
        <f t="shared" si="3"/>
        <v>MULTIBA BF-1</v>
      </c>
      <c r="BG95" s="244" t="str">
        <f t="shared" si="3"/>
        <v>MULTIBA BF-2</v>
      </c>
      <c r="BH95" s="244" t="str">
        <f t="shared" si="3"/>
        <v>MULTIBA BF-3</v>
      </c>
      <c r="BI95" s="244" t="str">
        <f t="shared" si="3"/>
        <v>MULTIBA BF-H</v>
      </c>
      <c r="BJ95" s="244" t="str">
        <f t="shared" si="3"/>
        <v>MULTIBA BF-T</v>
      </c>
      <c r="BK95" s="244" t="str">
        <f t="shared" si="3"/>
        <v>MULTIBA BM-1</v>
      </c>
      <c r="BL95" s="244" t="str">
        <f t="shared" si="3"/>
        <v>MULTIBA BM-2</v>
      </c>
      <c r="BM95" s="244" t="str">
        <f t="shared" si="3"/>
        <v>MULTIBA BM-3</v>
      </c>
      <c r="BN95" s="244" t="str">
        <f t="shared" si="3"/>
        <v>MULTIBA BM-T</v>
      </c>
      <c r="BO95" s="244" t="str">
        <f t="shared" si="3"/>
        <v>MULTIED A</v>
      </c>
      <c r="BP95" s="244" t="str">
        <f t="shared" si="3"/>
        <v>MULTIED BE-1</v>
      </c>
      <c r="BQ95" s="244" t="str">
        <f t="shared" si="3"/>
        <v>MULTIED BE-2</v>
      </c>
      <c r="BR95" s="244" t="str">
        <f t="shared" si="3"/>
        <v>MULTIED BF-1</v>
      </c>
      <c r="BS95" s="244" t="str">
        <f t="shared" si="3"/>
        <v>MULTIED BF-2</v>
      </c>
      <c r="BT95" s="244" t="str">
        <f t="shared" si="3"/>
        <v>MULTIED BF-3</v>
      </c>
      <c r="BU95" s="244" t="str">
        <f t="shared" si="3"/>
        <v>MULTIED BF-H</v>
      </c>
      <c r="BV95" s="244" t="str">
        <f t="shared" si="3"/>
        <v>MULTIED BF-T</v>
      </c>
      <c r="BW95" s="244" t="str">
        <f t="shared" si="3"/>
        <v>MULTIED BM-1</v>
      </c>
      <c r="BX95" s="244" t="str">
        <f t="shared" si="3"/>
        <v>MULTIED BM-2</v>
      </c>
      <c r="BY95" s="244" t="str">
        <f t="shared" si="3"/>
        <v>MULTIED BM-3</v>
      </c>
      <c r="BZ95" s="244" t="str">
        <f t="shared" si="3"/>
        <v>MULTIED BM-T</v>
      </c>
      <c r="CA95" s="244" t="str">
        <f t="shared" si="3"/>
        <v>MULTIEQ A</v>
      </c>
      <c r="CB95" s="244" t="str">
        <f t="shared" si="3"/>
        <v>MULTIEQ BE-1</v>
      </c>
      <c r="CC95" s="244" t="str">
        <f t="shared" si="3"/>
        <v>MULTIEQ BF-1</v>
      </c>
      <c r="CD95" s="244" t="str">
        <f t="shared" si="3"/>
        <v>MULTIEQ BF-F</v>
      </c>
      <c r="CE95" s="244" t="str">
        <f t="shared" si="3"/>
        <v>MULTIEQ BF-H</v>
      </c>
      <c r="CF95" s="244" t="str">
        <f t="shared" si="3"/>
        <v>MULTIEQ BF-T</v>
      </c>
      <c r="CG95" s="244" t="str">
        <f t="shared" si="3"/>
        <v>MULTIEQ BM-1</v>
      </c>
      <c r="CH95" s="244" t="str">
        <f t="shared" si="3"/>
        <v>MULTIEQ BM-T</v>
      </c>
      <c r="CI95" s="244" t="str">
        <f t="shared" ref="CI95:DJ95" si="4">+CI4</f>
        <v>MULTIFA A</v>
      </c>
      <c r="CJ95" s="244" t="str">
        <f t="shared" si="4"/>
        <v>MULTIFA BE-1</v>
      </c>
      <c r="CK95" s="244" t="str">
        <f t="shared" si="4"/>
        <v>MULTIFA BE-2</v>
      </c>
      <c r="CL95" s="244" t="str">
        <f t="shared" si="4"/>
        <v>MULTIFA BF-1</v>
      </c>
      <c r="CM95" s="244" t="str">
        <f t="shared" si="4"/>
        <v>MULTIFA BF-2</v>
      </c>
      <c r="CN95" s="244" t="str">
        <f t="shared" si="4"/>
        <v>MULTIFA BF-3</v>
      </c>
      <c r="CO95" s="244" t="str">
        <f t="shared" si="4"/>
        <v>MULTIFA BF-H</v>
      </c>
      <c r="CP95" s="244" t="str">
        <f t="shared" si="4"/>
        <v>MULTIFA BF-T</v>
      </c>
      <c r="CQ95" s="244" t="str">
        <f t="shared" si="4"/>
        <v>MULTIFA BM-1</v>
      </c>
      <c r="CR95" s="244" t="str">
        <f t="shared" si="4"/>
        <v>MULTIFA BM-2</v>
      </c>
      <c r="CS95" s="244" t="str">
        <f t="shared" si="4"/>
        <v>MULTIFA BM-3</v>
      </c>
      <c r="CT95" s="244" t="str">
        <f t="shared" si="4"/>
        <v>MULTIFA BM-T</v>
      </c>
      <c r="CU95" s="244" t="str">
        <f t="shared" ref="CU95:DC95" si="5">+CU4</f>
        <v>MULTIPC A</v>
      </c>
      <c r="CV95" s="244" t="str">
        <f t="shared" si="5"/>
        <v>MULTIPC BE-1</v>
      </c>
      <c r="CW95" s="244" t="str">
        <f t="shared" si="5"/>
        <v>MULTIPC BF-H</v>
      </c>
      <c r="CX95" s="244" t="str">
        <f t="shared" si="5"/>
        <v>MULTIPC BF-T</v>
      </c>
      <c r="CY95" s="244" t="str">
        <f t="shared" si="5"/>
        <v>MULTIPC BM-1</v>
      </c>
      <c r="CZ95" s="244" t="str">
        <f t="shared" si="5"/>
        <v>MULTIPC BM-T</v>
      </c>
      <c r="DA95" s="244" t="str">
        <f t="shared" si="5"/>
        <v>MULTIPC BF-F</v>
      </c>
      <c r="DB95" s="244" t="str">
        <f t="shared" si="5"/>
        <v>MULTIPC BF-1</v>
      </c>
      <c r="DC95" s="244" t="str">
        <f t="shared" si="5"/>
        <v>MVFANG+ A</v>
      </c>
      <c r="DD95" s="244" t="str">
        <f t="shared" si="4"/>
        <v>MVFANG+ BE-1</v>
      </c>
      <c r="DE95" s="244" t="str">
        <f t="shared" si="4"/>
        <v>MVFANG+ BF-1</v>
      </c>
      <c r="DF95" s="244" t="str">
        <f t="shared" si="4"/>
        <v>MVFANG+ BF-F</v>
      </c>
      <c r="DG95" s="244" t="str">
        <f t="shared" si="4"/>
        <v>MVFANG+ BF-H</v>
      </c>
      <c r="DH95" s="244" t="str">
        <f t="shared" si="4"/>
        <v>MVFANG+ BF-T</v>
      </c>
      <c r="DI95" s="244" t="str">
        <f t="shared" si="4"/>
        <v>MVFANG+ BM-1</v>
      </c>
      <c r="DJ95" s="244" t="str">
        <f t="shared" si="4"/>
        <v>MVFANG+ BM-T</v>
      </c>
      <c r="DK95" s="215"/>
      <c r="DL95" s="244" t="str">
        <f t="shared" ref="DL95:DZ95" si="6">+DL4</f>
        <v>USD SPOT 48</v>
      </c>
      <c r="DM95" s="244" t="str">
        <f t="shared" si="6"/>
        <v>PRLV de Ventanilla a 28 días. Tasa Neta</v>
      </c>
      <c r="DN95" s="244" t="str">
        <f t="shared" si="6"/>
        <v>PRLV a 28 días. Tasa Neta Ponderada</v>
      </c>
      <c r="DO95" s="244" t="str">
        <f t="shared" si="6"/>
        <v>PRLV a 28 días. Tasa Bruta Ponderada</v>
      </c>
      <c r="DP95" s="244" t="str">
        <f t="shared" si="6"/>
        <v>UDI</v>
      </c>
      <c r="DQ95" s="244" t="str">
        <f t="shared" si="6"/>
        <v>TIIE 28 Neto</v>
      </c>
      <c r="DR95" s="244" t="str">
        <f t="shared" si="6"/>
        <v>TIIE 28 Bruto</v>
      </c>
      <c r="DS95" s="244" t="str">
        <f t="shared" si="6"/>
        <v>Cetes 28 Neto</v>
      </c>
      <c r="DT95" s="244" t="str">
        <f t="shared" si="6"/>
        <v>Cetes 28 Bruto</v>
      </c>
      <c r="DU95" s="244">
        <f t="shared" si="6"/>
        <v>0</v>
      </c>
      <c r="DV95" s="244" t="str">
        <f t="shared" si="6"/>
        <v>IPC</v>
      </c>
      <c r="DW95" s="244" t="str">
        <f t="shared" si="6"/>
        <v>S&amp;P500 en USD</v>
      </c>
      <c r="DX95" s="244" t="str">
        <f t="shared" si="6"/>
        <v>S&amp;P500 en Pesos</v>
      </c>
      <c r="DY95" s="244" t="str">
        <f t="shared" si="6"/>
        <v>NASDAQ 100 en USD</v>
      </c>
      <c r="DZ95" s="244" t="str">
        <f t="shared" si="6"/>
        <v>NASDAQ 100 en Pesos</v>
      </c>
    </row>
    <row r="96" spans="1:141" x14ac:dyDescent="0.35">
      <c r="A96" s="245">
        <v>1</v>
      </c>
      <c r="B96" s="245">
        <f>+A96+1</f>
        <v>2</v>
      </c>
      <c r="C96" s="245">
        <f t="shared" ref="C96:BO96" si="7">+B96+1</f>
        <v>3</v>
      </c>
      <c r="D96" s="245">
        <f t="shared" si="7"/>
        <v>4</v>
      </c>
      <c r="E96" s="245">
        <f t="shared" si="7"/>
        <v>5</v>
      </c>
      <c r="F96" s="245">
        <f t="shared" si="7"/>
        <v>6</v>
      </c>
      <c r="G96" s="245">
        <f t="shared" si="7"/>
        <v>7</v>
      </c>
      <c r="H96" s="245">
        <f t="shared" si="7"/>
        <v>8</v>
      </c>
      <c r="I96" s="245">
        <f t="shared" si="7"/>
        <v>9</v>
      </c>
      <c r="J96" s="245">
        <f t="shared" si="7"/>
        <v>10</v>
      </c>
      <c r="K96" s="245">
        <f t="shared" si="7"/>
        <v>11</v>
      </c>
      <c r="L96" s="245">
        <f t="shared" ref="L96" si="8">+K96+1</f>
        <v>12</v>
      </c>
      <c r="M96" s="245">
        <f t="shared" ref="M96" si="9">+L96+1</f>
        <v>13</v>
      </c>
      <c r="N96" s="245">
        <f t="shared" ref="N96" si="10">+M96+1</f>
        <v>14</v>
      </c>
      <c r="O96" s="245">
        <f t="shared" si="7"/>
        <v>15</v>
      </c>
      <c r="P96" s="245">
        <f t="shared" si="7"/>
        <v>16</v>
      </c>
      <c r="Q96" s="245">
        <f t="shared" si="7"/>
        <v>17</v>
      </c>
      <c r="R96" s="245">
        <f t="shared" si="7"/>
        <v>18</v>
      </c>
      <c r="S96" s="245">
        <f t="shared" si="7"/>
        <v>19</v>
      </c>
      <c r="T96" s="245">
        <f t="shared" si="7"/>
        <v>20</v>
      </c>
      <c r="U96" s="245">
        <f t="shared" si="7"/>
        <v>21</v>
      </c>
      <c r="V96" s="245">
        <f t="shared" si="7"/>
        <v>22</v>
      </c>
      <c r="W96" s="245">
        <f t="shared" si="7"/>
        <v>23</v>
      </c>
      <c r="X96" s="245">
        <f t="shared" si="7"/>
        <v>24</v>
      </c>
      <c r="Y96" s="245">
        <f t="shared" si="7"/>
        <v>25</v>
      </c>
      <c r="Z96" s="245">
        <f t="shared" si="7"/>
        <v>26</v>
      </c>
      <c r="AA96" s="245">
        <f t="shared" si="7"/>
        <v>27</v>
      </c>
      <c r="AB96" s="245">
        <f t="shared" si="7"/>
        <v>28</v>
      </c>
      <c r="AC96" s="245">
        <f t="shared" si="7"/>
        <v>29</v>
      </c>
      <c r="AD96" s="245">
        <f t="shared" si="7"/>
        <v>30</v>
      </c>
      <c r="AE96" s="245">
        <f t="shared" si="7"/>
        <v>31</v>
      </c>
      <c r="AF96" s="245">
        <f t="shared" si="7"/>
        <v>32</v>
      </c>
      <c r="AG96" s="245">
        <f t="shared" si="7"/>
        <v>33</v>
      </c>
      <c r="AH96" s="245">
        <f t="shared" si="7"/>
        <v>34</v>
      </c>
      <c r="AI96" s="245">
        <f t="shared" si="7"/>
        <v>35</v>
      </c>
      <c r="AJ96" s="245">
        <f t="shared" si="7"/>
        <v>36</v>
      </c>
      <c r="AK96" s="245">
        <f t="shared" si="7"/>
        <v>37</v>
      </c>
      <c r="AL96" s="245">
        <f t="shared" si="7"/>
        <v>38</v>
      </c>
      <c r="AM96" s="245">
        <f t="shared" si="7"/>
        <v>39</v>
      </c>
      <c r="AN96" s="245">
        <f t="shared" si="7"/>
        <v>40</v>
      </c>
      <c r="AO96" s="245">
        <f t="shared" si="7"/>
        <v>41</v>
      </c>
      <c r="AP96" s="245">
        <f t="shared" si="7"/>
        <v>42</v>
      </c>
      <c r="AQ96" s="245">
        <f t="shared" si="7"/>
        <v>43</v>
      </c>
      <c r="AR96" s="245">
        <f t="shared" si="7"/>
        <v>44</v>
      </c>
      <c r="AS96" s="245">
        <f t="shared" si="7"/>
        <v>45</v>
      </c>
      <c r="AT96" s="245">
        <f t="shared" si="7"/>
        <v>46</v>
      </c>
      <c r="AU96" s="245">
        <f t="shared" si="7"/>
        <v>47</v>
      </c>
      <c r="AV96" s="245">
        <f t="shared" si="7"/>
        <v>48</v>
      </c>
      <c r="AW96" s="245">
        <f t="shared" si="7"/>
        <v>49</v>
      </c>
      <c r="AX96" s="245">
        <f t="shared" si="7"/>
        <v>50</v>
      </c>
      <c r="AY96" s="245">
        <f t="shared" si="7"/>
        <v>51</v>
      </c>
      <c r="AZ96" s="245">
        <f t="shared" si="7"/>
        <v>52</v>
      </c>
      <c r="BA96" s="245">
        <f t="shared" si="7"/>
        <v>53</v>
      </c>
      <c r="BB96" s="245">
        <f t="shared" si="7"/>
        <v>54</v>
      </c>
      <c r="BC96" s="245">
        <f t="shared" si="7"/>
        <v>55</v>
      </c>
      <c r="BD96" s="245">
        <f t="shared" si="7"/>
        <v>56</v>
      </c>
      <c r="BE96" s="245">
        <f t="shared" si="7"/>
        <v>57</v>
      </c>
      <c r="BF96" s="245">
        <f t="shared" si="7"/>
        <v>58</v>
      </c>
      <c r="BG96" s="245">
        <f t="shared" si="7"/>
        <v>59</v>
      </c>
      <c r="BH96" s="245">
        <f t="shared" si="7"/>
        <v>60</v>
      </c>
      <c r="BI96" s="245">
        <f t="shared" si="7"/>
        <v>61</v>
      </c>
      <c r="BJ96" s="245">
        <f t="shared" si="7"/>
        <v>62</v>
      </c>
      <c r="BK96" s="245">
        <f t="shared" si="7"/>
        <v>63</v>
      </c>
      <c r="BL96" s="245">
        <f t="shared" si="7"/>
        <v>64</v>
      </c>
      <c r="BM96" s="245">
        <f t="shared" si="7"/>
        <v>65</v>
      </c>
      <c r="BN96" s="245">
        <f t="shared" si="7"/>
        <v>66</v>
      </c>
      <c r="BO96" s="245">
        <f t="shared" si="7"/>
        <v>67</v>
      </c>
      <c r="BP96" s="245">
        <f t="shared" ref="BP96:EB96" si="11">+BO96+1</f>
        <v>68</v>
      </c>
      <c r="BQ96" s="245">
        <f t="shared" si="11"/>
        <v>69</v>
      </c>
      <c r="BR96" s="245">
        <f t="shared" si="11"/>
        <v>70</v>
      </c>
      <c r="BS96" s="245">
        <f t="shared" si="11"/>
        <v>71</v>
      </c>
      <c r="BT96" s="245">
        <f t="shared" si="11"/>
        <v>72</v>
      </c>
      <c r="BU96" s="245">
        <f t="shared" si="11"/>
        <v>73</v>
      </c>
      <c r="BV96" s="245">
        <f t="shared" si="11"/>
        <v>74</v>
      </c>
      <c r="BW96" s="245">
        <f t="shared" si="11"/>
        <v>75</v>
      </c>
      <c r="BX96" s="245">
        <f t="shared" si="11"/>
        <v>76</v>
      </c>
      <c r="BY96" s="245">
        <f t="shared" si="11"/>
        <v>77</v>
      </c>
      <c r="BZ96" s="245">
        <f t="shared" si="11"/>
        <v>78</v>
      </c>
      <c r="CA96" s="245">
        <f t="shared" si="11"/>
        <v>79</v>
      </c>
      <c r="CB96" s="245">
        <f t="shared" si="11"/>
        <v>80</v>
      </c>
      <c r="CC96" s="245">
        <f t="shared" si="11"/>
        <v>81</v>
      </c>
      <c r="CD96" s="245">
        <f t="shared" si="11"/>
        <v>82</v>
      </c>
      <c r="CE96" s="245">
        <f t="shared" si="11"/>
        <v>83</v>
      </c>
      <c r="CF96" s="245">
        <f t="shared" si="11"/>
        <v>84</v>
      </c>
      <c r="CG96" s="245">
        <f t="shared" si="11"/>
        <v>85</v>
      </c>
      <c r="CH96" s="245">
        <f t="shared" si="11"/>
        <v>86</v>
      </c>
      <c r="CI96" s="245">
        <f t="shared" si="11"/>
        <v>87</v>
      </c>
      <c r="CJ96" s="245">
        <f t="shared" si="11"/>
        <v>88</v>
      </c>
      <c r="CK96" s="245">
        <f t="shared" si="11"/>
        <v>89</v>
      </c>
      <c r="CL96" s="245">
        <f t="shared" si="11"/>
        <v>90</v>
      </c>
      <c r="CM96" s="245">
        <f t="shared" si="11"/>
        <v>91</v>
      </c>
      <c r="CN96" s="245">
        <f t="shared" si="11"/>
        <v>92</v>
      </c>
      <c r="CO96" s="245">
        <f t="shared" si="11"/>
        <v>93</v>
      </c>
      <c r="CP96" s="245">
        <f t="shared" si="11"/>
        <v>94</v>
      </c>
      <c r="CQ96" s="245">
        <f t="shared" si="11"/>
        <v>95</v>
      </c>
      <c r="CR96" s="245">
        <f t="shared" si="11"/>
        <v>96</v>
      </c>
      <c r="CS96" s="245">
        <f t="shared" si="11"/>
        <v>97</v>
      </c>
      <c r="CT96" s="245">
        <f t="shared" si="11"/>
        <v>98</v>
      </c>
      <c r="CU96" s="245">
        <f t="shared" ref="CU96" si="12">+CT96+1</f>
        <v>99</v>
      </c>
      <c r="CV96" s="245">
        <f t="shared" ref="CV96" si="13">+CU96+1</f>
        <v>100</v>
      </c>
      <c r="CW96" s="245">
        <f t="shared" ref="CW96" si="14">+CV96+1</f>
        <v>101</v>
      </c>
      <c r="CX96" s="245">
        <f t="shared" ref="CX96" si="15">+CW96+1</f>
        <v>102</v>
      </c>
      <c r="CY96" s="245">
        <f t="shared" ref="CY96" si="16">+CX96+1</f>
        <v>103</v>
      </c>
      <c r="CZ96" s="245">
        <f t="shared" ref="CZ96" si="17">+CY96+1</f>
        <v>104</v>
      </c>
      <c r="DA96" s="245">
        <f t="shared" ref="DA96" si="18">+CZ96+1</f>
        <v>105</v>
      </c>
      <c r="DB96" s="245">
        <f t="shared" ref="DB96" si="19">+DA96+1</f>
        <v>106</v>
      </c>
      <c r="DC96" s="245">
        <f t="shared" ref="DC96" si="20">+DB96+1</f>
        <v>107</v>
      </c>
      <c r="DD96" s="245">
        <f t="shared" si="11"/>
        <v>108</v>
      </c>
      <c r="DE96" s="245">
        <f t="shared" si="11"/>
        <v>109</v>
      </c>
      <c r="DF96" s="245">
        <f t="shared" si="11"/>
        <v>110</v>
      </c>
      <c r="DG96" s="245">
        <f t="shared" si="11"/>
        <v>111</v>
      </c>
      <c r="DH96" s="245">
        <f t="shared" si="11"/>
        <v>112</v>
      </c>
      <c r="DI96" s="245">
        <f t="shared" si="11"/>
        <v>113</v>
      </c>
      <c r="DJ96" s="245">
        <f t="shared" si="11"/>
        <v>114</v>
      </c>
      <c r="DK96" s="245">
        <f t="shared" si="11"/>
        <v>115</v>
      </c>
      <c r="DL96" s="245">
        <f t="shared" si="11"/>
        <v>116</v>
      </c>
      <c r="DM96" s="245">
        <f t="shared" si="11"/>
        <v>117</v>
      </c>
      <c r="DN96" s="245">
        <f t="shared" si="11"/>
        <v>118</v>
      </c>
      <c r="DO96" s="245">
        <f t="shared" si="11"/>
        <v>119</v>
      </c>
      <c r="DP96" s="245">
        <f t="shared" si="11"/>
        <v>120</v>
      </c>
      <c r="DQ96" s="245">
        <f t="shared" si="11"/>
        <v>121</v>
      </c>
      <c r="DR96" s="245">
        <f t="shared" si="11"/>
        <v>122</v>
      </c>
      <c r="DS96" s="245">
        <f t="shared" si="11"/>
        <v>123</v>
      </c>
      <c r="DT96" s="245">
        <f t="shared" si="11"/>
        <v>124</v>
      </c>
      <c r="DU96" s="245">
        <f t="shared" si="11"/>
        <v>125</v>
      </c>
      <c r="DV96" s="245">
        <f t="shared" si="11"/>
        <v>126</v>
      </c>
      <c r="DW96" s="245">
        <f t="shared" si="11"/>
        <v>127</v>
      </c>
      <c r="DX96" s="245">
        <f t="shared" si="11"/>
        <v>128</v>
      </c>
      <c r="DY96" s="245">
        <f t="shared" si="11"/>
        <v>129</v>
      </c>
      <c r="DZ96" s="245">
        <f t="shared" si="11"/>
        <v>130</v>
      </c>
      <c r="EA96" s="245">
        <f t="shared" si="11"/>
        <v>131</v>
      </c>
      <c r="EB96" s="245">
        <f t="shared" si="11"/>
        <v>132</v>
      </c>
      <c r="EC96" s="245">
        <f t="shared" ref="EC96:EG96" si="21">+EB96+1</f>
        <v>133</v>
      </c>
      <c r="ED96" s="245">
        <f t="shared" si="21"/>
        <v>134</v>
      </c>
      <c r="EE96" s="245">
        <f t="shared" si="21"/>
        <v>135</v>
      </c>
      <c r="EF96" s="245">
        <f t="shared" si="21"/>
        <v>136</v>
      </c>
      <c r="EG96" s="245">
        <f t="shared" si="21"/>
        <v>137</v>
      </c>
      <c r="EH96" s="245"/>
      <c r="EK96" s="245"/>
    </row>
    <row r="97" spans="1:141" x14ac:dyDescent="0.35">
      <c r="A97" s="245"/>
      <c r="B97" s="245"/>
      <c r="C97" s="245"/>
      <c r="D97" s="245"/>
      <c r="E97" s="245"/>
      <c r="F97" s="245"/>
      <c r="G97" s="245"/>
      <c r="H97" s="245"/>
      <c r="I97" s="245"/>
      <c r="J97" s="245"/>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245"/>
      <c r="AP97" s="245"/>
      <c r="AQ97" s="245"/>
      <c r="AR97" s="245"/>
      <c r="AS97" s="245"/>
      <c r="AT97" s="245"/>
      <c r="AU97" s="245"/>
      <c r="AV97" s="245"/>
      <c r="AW97" s="245"/>
      <c r="AX97" s="245"/>
      <c r="AY97" s="245"/>
      <c r="AZ97" s="245"/>
      <c r="BA97" s="245"/>
      <c r="BB97" s="245"/>
      <c r="BC97" s="245"/>
      <c r="BD97" s="245"/>
      <c r="BE97" s="245"/>
      <c r="BF97" s="245"/>
      <c r="BG97" s="245"/>
      <c r="BH97" s="245"/>
      <c r="BI97" s="245"/>
      <c r="BJ97" s="245"/>
      <c r="BK97" s="245"/>
      <c r="BL97" s="245"/>
      <c r="BM97" s="245"/>
      <c r="BN97" s="245"/>
      <c r="BO97" s="245"/>
      <c r="BP97" s="245"/>
      <c r="BQ97" s="245"/>
      <c r="BR97" s="245"/>
      <c r="BS97" s="245"/>
      <c r="BT97" s="245"/>
      <c r="BU97" s="245"/>
      <c r="BV97" s="245"/>
      <c r="BW97" s="245"/>
      <c r="BX97" s="245"/>
      <c r="BY97" s="245"/>
      <c r="BZ97" s="245"/>
      <c r="CA97" s="245"/>
      <c r="CB97" s="245"/>
      <c r="CC97" s="245"/>
      <c r="CD97" s="245"/>
      <c r="CE97" s="245"/>
      <c r="CF97" s="245"/>
      <c r="CG97" s="245"/>
      <c r="CH97" s="245"/>
      <c r="CI97" s="245"/>
      <c r="CJ97" s="245"/>
      <c r="CK97" s="245"/>
      <c r="CL97" s="245"/>
      <c r="CM97" s="245"/>
      <c r="CN97" s="245"/>
      <c r="CO97" s="245"/>
      <c r="CP97" s="245"/>
      <c r="CQ97" s="245"/>
      <c r="CR97" s="245"/>
      <c r="CS97" s="245"/>
      <c r="CT97" s="245"/>
      <c r="CU97" s="245"/>
      <c r="CV97" s="245"/>
      <c r="CW97" s="245"/>
      <c r="CX97" s="245"/>
      <c r="CY97" s="245"/>
      <c r="CZ97" s="245"/>
      <c r="DA97" s="245"/>
      <c r="DB97" s="245"/>
      <c r="DC97" s="245"/>
      <c r="DD97" s="245"/>
      <c r="DE97" s="245"/>
      <c r="DF97" s="245"/>
      <c r="DG97" s="245"/>
      <c r="DH97" s="245"/>
      <c r="DI97" s="245"/>
      <c r="DJ97" s="246"/>
      <c r="DK97" s="245"/>
      <c r="DL97" s="245"/>
      <c r="DM97" s="245"/>
      <c r="DN97" s="245"/>
      <c r="DO97" s="245"/>
      <c r="DP97" s="245"/>
      <c r="DQ97" s="245"/>
      <c r="DR97" s="245"/>
      <c r="DS97" s="245"/>
      <c r="DT97" s="245"/>
      <c r="DU97" s="245"/>
      <c r="DV97" s="245"/>
      <c r="DW97" s="245"/>
      <c r="DX97" s="245"/>
      <c r="DY97" s="245"/>
      <c r="EA97" s="245"/>
      <c r="EB97" s="245"/>
      <c r="EC97" s="245"/>
      <c r="ED97" s="245"/>
      <c r="EE97" s="245"/>
      <c r="EF97" s="245"/>
      <c r="EG97" s="245"/>
      <c r="EJ97" s="245"/>
    </row>
    <row r="98" spans="1:141" x14ac:dyDescent="0.35">
      <c r="A98" s="247" t="s">
        <v>240</v>
      </c>
      <c r="B98" s="247" t="str">
        <f>+GRAFICAS!A7</f>
        <v>MVFANG+ BF-1</v>
      </c>
      <c r="C98" s="248" t="str">
        <f>+GRAFICAS!E7</f>
        <v>Efectivo</v>
      </c>
      <c r="D98" s="245">
        <f>HLOOKUP(B98,$A$95:$EG$96,2,0)</f>
        <v>109</v>
      </c>
      <c r="E98" s="245"/>
      <c r="F98" s="245"/>
      <c r="G98" s="245"/>
      <c r="H98" s="245"/>
      <c r="I98" s="245"/>
      <c r="J98" s="245"/>
      <c r="K98" s="245"/>
      <c r="L98" s="245"/>
      <c r="M98" s="245"/>
      <c r="N98" s="245"/>
      <c r="O98" s="245"/>
      <c r="P98" s="245"/>
      <c r="Q98" s="245"/>
      <c r="R98" s="245"/>
      <c r="S98" s="245"/>
      <c r="T98" s="245"/>
      <c r="U98" s="245"/>
      <c r="V98" s="245"/>
      <c r="W98" s="245"/>
      <c r="X98" s="245"/>
      <c r="Y98" s="245"/>
      <c r="Z98" s="245"/>
      <c r="AA98" s="245"/>
      <c r="AB98" s="245"/>
      <c r="AC98" s="245"/>
      <c r="AD98" s="245"/>
      <c r="AE98" s="245"/>
      <c r="AF98" s="245"/>
      <c r="AG98" s="245"/>
      <c r="AH98" s="245"/>
      <c r="AI98" s="245"/>
      <c r="AJ98" s="245"/>
      <c r="AK98" s="245"/>
      <c r="AL98" s="245"/>
      <c r="AM98" s="245"/>
      <c r="AN98" s="245"/>
      <c r="AO98" s="245"/>
      <c r="AP98" s="245"/>
      <c r="AQ98" s="245"/>
      <c r="AR98" s="245"/>
      <c r="AS98" s="245"/>
      <c r="AT98" s="245"/>
      <c r="AU98" s="245"/>
      <c r="AV98" s="245"/>
      <c r="AW98" s="245"/>
      <c r="AX98" s="245"/>
      <c r="AY98" s="245"/>
      <c r="AZ98" s="245"/>
      <c r="BA98" s="245"/>
      <c r="BB98" s="245"/>
      <c r="BC98" s="245"/>
      <c r="BD98" s="245"/>
      <c r="BE98" s="245"/>
      <c r="BF98" s="245"/>
      <c r="BG98" s="245"/>
      <c r="BH98" s="245"/>
      <c r="BI98" s="245"/>
      <c r="BJ98" s="245"/>
      <c r="BK98" s="245"/>
      <c r="BL98" s="245"/>
      <c r="BM98" s="245"/>
      <c r="BN98" s="245"/>
      <c r="BO98" s="245"/>
      <c r="BP98" s="245"/>
      <c r="BQ98" s="245"/>
      <c r="BR98" s="245"/>
      <c r="BS98" s="245"/>
      <c r="BT98" s="245"/>
      <c r="BU98" s="245"/>
      <c r="BV98" s="245"/>
      <c r="BW98" s="245"/>
      <c r="BX98" s="245"/>
      <c r="BY98" s="245"/>
      <c r="BZ98" s="245"/>
      <c r="CA98" s="245"/>
      <c r="CB98" s="245"/>
      <c r="CC98" s="245"/>
      <c r="CD98" s="245"/>
      <c r="CE98" s="245"/>
      <c r="CF98" s="245"/>
      <c r="CG98" s="245"/>
      <c r="CH98" s="245"/>
      <c r="CI98" s="245"/>
      <c r="CJ98" s="245"/>
      <c r="CK98" s="245"/>
      <c r="CL98" s="245"/>
      <c r="CM98" s="245"/>
      <c r="CN98" s="245"/>
      <c r="CO98" s="245"/>
      <c r="CP98" s="245"/>
      <c r="CQ98" s="245"/>
      <c r="CR98" s="245"/>
      <c r="CS98" s="245"/>
      <c r="CT98" s="245"/>
      <c r="CU98" s="245"/>
      <c r="CV98" s="245"/>
      <c r="CW98" s="245"/>
      <c r="CX98" s="245"/>
      <c r="CY98" s="245"/>
      <c r="CZ98" s="245"/>
      <c r="DA98" s="245"/>
      <c r="DB98" s="245"/>
      <c r="DC98" s="245"/>
      <c r="DD98" s="245"/>
      <c r="DE98" s="245"/>
      <c r="DF98" s="245"/>
      <c r="DG98" s="245"/>
      <c r="DH98" s="245"/>
      <c r="DI98" s="245"/>
      <c r="DJ98" s="246"/>
      <c r="DK98" s="245"/>
      <c r="DL98" s="245"/>
      <c r="DM98" s="245"/>
      <c r="DN98" s="245"/>
      <c r="DO98" s="245"/>
      <c r="DP98" s="245"/>
      <c r="DQ98" s="245"/>
      <c r="DR98" s="245"/>
      <c r="DS98" s="245"/>
      <c r="DT98" s="245"/>
      <c r="DU98" s="245"/>
      <c r="DV98" s="245"/>
      <c r="DW98" s="245"/>
      <c r="DX98" s="245"/>
      <c r="DY98" s="245"/>
      <c r="EA98" s="245"/>
      <c r="EB98" s="245"/>
      <c r="EC98" s="245"/>
      <c r="ED98" s="245"/>
      <c r="EE98" s="245"/>
      <c r="EF98" s="245"/>
      <c r="EG98" s="245"/>
      <c r="EJ98" s="245"/>
    </row>
    <row r="99" spans="1:141" x14ac:dyDescent="0.35">
      <c r="A99" s="247"/>
      <c r="B99" s="247"/>
      <c r="C99" s="245"/>
      <c r="D99" s="245"/>
      <c r="E99" s="245"/>
      <c r="F99" s="245"/>
      <c r="G99" s="245"/>
      <c r="H99" s="245"/>
      <c r="I99" s="245"/>
      <c r="J99" s="245"/>
      <c r="K99" s="245"/>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245"/>
      <c r="AP99" s="245"/>
      <c r="AQ99" s="245"/>
      <c r="AR99" s="245"/>
      <c r="AS99" s="245"/>
      <c r="AT99" s="245"/>
      <c r="AU99" s="245"/>
      <c r="AV99" s="245"/>
      <c r="AW99" s="245"/>
      <c r="AX99" s="245"/>
      <c r="AY99" s="245"/>
      <c r="AZ99" s="245"/>
      <c r="BA99" s="245"/>
      <c r="BB99" s="245"/>
      <c r="BC99" s="245"/>
      <c r="BD99" s="245"/>
      <c r="BE99" s="245"/>
      <c r="BF99" s="245"/>
      <c r="BG99" s="245"/>
      <c r="BH99" s="245"/>
      <c r="BI99" s="245"/>
      <c r="BJ99" s="245"/>
      <c r="BK99" s="245"/>
      <c r="BL99" s="245"/>
      <c r="BM99" s="245"/>
      <c r="BN99" s="245"/>
      <c r="BO99" s="245"/>
      <c r="BP99" s="245"/>
      <c r="BQ99" s="245"/>
      <c r="BR99" s="245"/>
      <c r="BS99" s="245"/>
      <c r="BT99" s="245"/>
      <c r="BU99" s="245"/>
      <c r="BV99" s="245"/>
      <c r="BW99" s="245"/>
      <c r="BX99" s="245"/>
      <c r="BY99" s="245"/>
      <c r="BZ99" s="245"/>
      <c r="CA99" s="245"/>
      <c r="CB99" s="245"/>
      <c r="CC99" s="245"/>
      <c r="CD99" s="245"/>
      <c r="CE99" s="245"/>
      <c r="CF99" s="245"/>
      <c r="CG99" s="245"/>
      <c r="CH99" s="245"/>
      <c r="CI99" s="245"/>
      <c r="CJ99" s="245"/>
      <c r="CK99" s="245"/>
      <c r="CL99" s="245"/>
      <c r="CM99" s="245"/>
      <c r="CN99" s="245"/>
      <c r="CO99" s="245"/>
      <c r="CP99" s="245"/>
      <c r="CQ99" s="245"/>
      <c r="CR99" s="245"/>
      <c r="CS99" s="245"/>
      <c r="CT99" s="245"/>
      <c r="CU99" s="245"/>
      <c r="CV99" s="245"/>
      <c r="CW99" s="245"/>
      <c r="CX99" s="245"/>
      <c r="CY99" s="245"/>
      <c r="CZ99" s="245"/>
      <c r="DA99" s="245"/>
      <c r="DB99" s="245"/>
      <c r="DC99" s="245"/>
      <c r="DD99" s="245"/>
      <c r="DE99" s="245"/>
      <c r="DF99" s="245"/>
      <c r="DG99" s="245"/>
      <c r="DH99" s="245"/>
      <c r="DI99" s="245"/>
      <c r="DJ99" s="246"/>
      <c r="DK99" s="245"/>
      <c r="DL99" s="245"/>
      <c r="DM99" s="245"/>
      <c r="DN99" s="245"/>
      <c r="DO99" s="245"/>
      <c r="DP99" s="245"/>
      <c r="DQ99" s="245"/>
      <c r="DR99" s="245"/>
      <c r="DS99" s="245"/>
      <c r="DT99" s="245"/>
      <c r="DU99" s="245"/>
      <c r="DV99" s="245"/>
      <c r="DW99" s="245"/>
      <c r="DX99" s="245"/>
      <c r="DY99" s="245"/>
      <c r="EA99" s="245"/>
      <c r="EB99" s="245"/>
      <c r="EC99" s="245"/>
      <c r="ED99" s="245"/>
      <c r="EE99" s="245"/>
      <c r="EF99" s="245"/>
      <c r="EG99" s="245"/>
      <c r="EJ99" s="245"/>
    </row>
    <row r="100" spans="1:141" x14ac:dyDescent="0.35">
      <c r="A100" s="249" t="s">
        <v>241</v>
      </c>
      <c r="B100" s="250"/>
      <c r="C100" s="245"/>
      <c r="D100" s="245"/>
      <c r="E100" s="245"/>
      <c r="F100" s="245" t="s">
        <v>246</v>
      </c>
      <c r="G100" s="245"/>
      <c r="H100" s="245"/>
      <c r="I100" s="245"/>
      <c r="J100" s="245" t="s">
        <v>247</v>
      </c>
      <c r="K100" s="245"/>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245"/>
      <c r="AP100" s="245"/>
      <c r="AQ100" s="245"/>
      <c r="AR100" s="245"/>
      <c r="AS100" s="245"/>
      <c r="AT100" s="245"/>
      <c r="AU100" s="245"/>
      <c r="AV100" s="245"/>
      <c r="AW100" s="245"/>
      <c r="AX100" s="245"/>
      <c r="AY100" s="245"/>
      <c r="AZ100" s="245"/>
      <c r="BA100" s="245"/>
      <c r="BB100" s="245"/>
      <c r="BC100" s="245"/>
      <c r="BD100" s="245"/>
      <c r="BE100" s="245"/>
      <c r="BF100" s="245"/>
      <c r="BG100" s="245"/>
      <c r="BH100" s="245"/>
      <c r="BI100" s="245"/>
      <c r="BJ100" s="245"/>
      <c r="BK100" s="245"/>
      <c r="BL100" s="245"/>
      <c r="BM100" s="245"/>
      <c r="BN100" s="245"/>
      <c r="BO100" s="245"/>
      <c r="BP100" s="245"/>
      <c r="BQ100" s="245"/>
      <c r="BR100" s="245"/>
      <c r="BS100" s="245"/>
      <c r="BT100" s="245"/>
      <c r="BU100" s="245"/>
      <c r="BV100" s="245"/>
      <c r="BW100" s="245"/>
      <c r="BX100" s="245"/>
      <c r="BY100" s="245"/>
      <c r="BZ100" s="245"/>
      <c r="CA100" s="245"/>
      <c r="CB100" s="245"/>
      <c r="CC100" s="245"/>
      <c r="CD100" s="245"/>
      <c r="CE100" s="245"/>
      <c r="CF100" s="245"/>
      <c r="CG100" s="245"/>
      <c r="CH100" s="245"/>
      <c r="CI100" s="245"/>
      <c r="CJ100" s="245"/>
      <c r="CK100" s="245"/>
      <c r="CL100" s="245"/>
      <c r="CM100" s="245"/>
      <c r="CN100" s="245"/>
      <c r="CO100" s="245"/>
      <c r="CP100" s="245"/>
      <c r="CQ100" s="245"/>
      <c r="CR100" s="245"/>
      <c r="CS100" s="245"/>
      <c r="CT100" s="245"/>
      <c r="CU100" s="245"/>
      <c r="CV100" s="245"/>
      <c r="CW100" s="245"/>
      <c r="CX100" s="245"/>
      <c r="CY100" s="245"/>
      <c r="CZ100" s="245"/>
      <c r="DA100" s="245"/>
      <c r="DB100" s="245"/>
      <c r="DC100" s="245"/>
      <c r="DD100" s="245"/>
      <c r="DE100" s="245"/>
      <c r="DF100" s="245"/>
      <c r="DG100" s="245"/>
      <c r="DH100" s="245"/>
      <c r="DI100" s="245"/>
      <c r="DJ100" s="246"/>
      <c r="DL100" s="245"/>
      <c r="DM100" s="245"/>
      <c r="DN100" s="245"/>
      <c r="DO100" s="245"/>
      <c r="DP100" s="245"/>
      <c r="DQ100" s="245"/>
      <c r="DR100" s="245"/>
      <c r="DS100" s="245"/>
      <c r="DT100" s="245"/>
      <c r="DU100" s="245"/>
      <c r="DV100" s="245"/>
      <c r="DW100" s="245"/>
      <c r="DX100" s="245"/>
      <c r="DY100" s="245"/>
      <c r="DZ100" s="245"/>
      <c r="EA100" s="245"/>
      <c r="EB100" s="245"/>
      <c r="EC100" s="245"/>
      <c r="ED100" s="245"/>
      <c r="EE100" s="245"/>
      <c r="EF100" s="245"/>
      <c r="EG100" s="245"/>
      <c r="EH100" s="245"/>
      <c r="EK100" s="245"/>
    </row>
    <row r="101" spans="1:141" ht="29" x14ac:dyDescent="0.35">
      <c r="A101" s="251" t="s">
        <v>245</v>
      </c>
      <c r="B101" s="251" t="s">
        <v>173</v>
      </c>
      <c r="C101" s="251" t="s">
        <v>187</v>
      </c>
      <c r="D101" s="252" t="s">
        <v>248</v>
      </c>
      <c r="E101" s="253" t="s">
        <v>202</v>
      </c>
      <c r="F101" s="253" t="s">
        <v>204</v>
      </c>
      <c r="G101" s="253" t="s">
        <v>205</v>
      </c>
      <c r="H101" s="254" t="s">
        <v>239</v>
      </c>
      <c r="I101" s="255" t="str">
        <f>+$C$98</f>
        <v>Efectivo</v>
      </c>
      <c r="J101" s="253" t="s">
        <v>204</v>
      </c>
      <c r="K101" s="253" t="s">
        <v>205</v>
      </c>
      <c r="L101" s="254" t="s">
        <v>239</v>
      </c>
      <c r="M101" s="255" t="str">
        <f>+$C$98</f>
        <v>Efectivo</v>
      </c>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245"/>
      <c r="AP101" s="245"/>
      <c r="AQ101" s="245"/>
      <c r="AR101" s="245"/>
      <c r="AS101" s="245"/>
      <c r="AT101" s="245"/>
      <c r="AU101" s="245"/>
      <c r="AV101" s="245"/>
      <c r="AW101" s="245"/>
      <c r="AX101" s="245"/>
      <c r="AY101" s="245"/>
      <c r="AZ101" s="245"/>
      <c r="BA101" s="245"/>
      <c r="BB101" s="245"/>
      <c r="BC101" s="245"/>
      <c r="BD101" s="245"/>
      <c r="BE101" s="245"/>
      <c r="BF101" s="245"/>
      <c r="BG101" s="245"/>
      <c r="BH101" s="245"/>
      <c r="BI101" s="245"/>
      <c r="BJ101" s="245"/>
      <c r="BK101" s="245"/>
      <c r="BL101" s="245"/>
      <c r="BM101" s="245"/>
      <c r="BN101" s="245"/>
      <c r="BO101" s="245"/>
      <c r="BP101" s="245"/>
      <c r="BQ101" s="245"/>
      <c r="BR101" s="245"/>
      <c r="BS101" s="245"/>
      <c r="BT101" s="245"/>
      <c r="BU101" s="245"/>
      <c r="BV101" s="245"/>
      <c r="BW101" s="245"/>
      <c r="BX101" s="245"/>
      <c r="BY101" s="245"/>
      <c r="BZ101" s="245"/>
      <c r="CA101" s="245"/>
      <c r="CB101" s="245"/>
      <c r="CC101" s="245"/>
      <c r="CD101" s="245"/>
      <c r="CE101" s="245"/>
      <c r="CF101" s="245"/>
      <c r="CG101" s="245"/>
      <c r="CH101" s="245"/>
      <c r="CI101" s="245"/>
      <c r="CJ101" s="245"/>
      <c r="CK101" s="245"/>
      <c r="CL101" s="245"/>
      <c r="CM101" s="245"/>
      <c r="CN101" s="245"/>
      <c r="CO101" s="245"/>
      <c r="CP101" s="245"/>
      <c r="CQ101" s="245"/>
      <c r="CR101" s="245"/>
      <c r="CS101" s="245"/>
      <c r="CT101" s="245"/>
      <c r="CU101" s="245"/>
      <c r="CV101" s="245"/>
      <c r="CW101" s="245"/>
      <c r="CX101" s="245"/>
      <c r="CY101" s="245"/>
      <c r="CZ101" s="245"/>
      <c r="DA101" s="245"/>
      <c r="DB101" s="245"/>
      <c r="DC101" s="245"/>
      <c r="DD101" s="245"/>
      <c r="DE101" s="245"/>
      <c r="DF101" s="245"/>
      <c r="DG101" s="245"/>
      <c r="DH101" s="245"/>
      <c r="DI101" s="245"/>
      <c r="DJ101" s="246"/>
      <c r="DL101" s="245"/>
      <c r="DM101" s="245"/>
      <c r="DN101" s="245"/>
      <c r="DO101" s="245"/>
      <c r="DP101" s="245"/>
      <c r="DQ101" s="245"/>
      <c r="DR101" s="245"/>
      <c r="DS101" s="245"/>
      <c r="DT101" s="245"/>
      <c r="DU101" s="245"/>
      <c r="DV101" s="245"/>
      <c r="DW101" s="245"/>
      <c r="DX101" s="245"/>
      <c r="DY101" s="245"/>
      <c r="DZ101" s="245"/>
      <c r="EA101" s="245"/>
      <c r="EB101" s="245"/>
      <c r="EC101" s="245"/>
      <c r="ED101" s="245"/>
      <c r="EE101" s="245"/>
      <c r="EF101" s="245"/>
      <c r="EG101" s="245"/>
      <c r="EH101" s="245"/>
      <c r="EK101" s="245"/>
    </row>
    <row r="102" spans="1:141" x14ac:dyDescent="0.35">
      <c r="A102" s="211">
        <v>1</v>
      </c>
      <c r="B102" s="256">
        <v>45777</v>
      </c>
      <c r="E102" s="257">
        <f t="shared" ref="E102:E114" si="22">VLOOKUP($B102,$A$5:$DZ$94,D$98,0)</f>
        <v>1.224191</v>
      </c>
      <c r="F102" s="258"/>
      <c r="H102" s="258"/>
      <c r="I102" s="259"/>
      <c r="J102" s="245"/>
      <c r="K102" s="245"/>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245"/>
      <c r="AP102" s="245"/>
      <c r="AQ102" s="245"/>
      <c r="AR102" s="245"/>
      <c r="AS102" s="245"/>
      <c r="AT102" s="245"/>
      <c r="AU102" s="245"/>
      <c r="AV102" s="245"/>
      <c r="AW102" s="245"/>
      <c r="AX102" s="245"/>
      <c r="AY102" s="245"/>
      <c r="AZ102" s="245"/>
      <c r="BA102" s="245"/>
      <c r="BB102" s="245"/>
      <c r="BC102" s="245"/>
      <c r="BD102" s="245"/>
      <c r="BE102" s="245"/>
      <c r="BF102" s="245"/>
      <c r="BG102" s="245"/>
      <c r="BH102" s="245"/>
      <c r="BI102" s="245"/>
      <c r="BJ102" s="245"/>
      <c r="BK102" s="245"/>
      <c r="BL102" s="245"/>
      <c r="BM102" s="245"/>
      <c r="BN102" s="245"/>
      <c r="BO102" s="245"/>
      <c r="BP102" s="245"/>
      <c r="BQ102" s="245"/>
      <c r="BR102" s="245"/>
      <c r="BS102" s="245"/>
      <c r="BT102" s="245"/>
      <c r="BU102" s="245"/>
      <c r="BV102" s="245"/>
      <c r="BW102" s="245"/>
      <c r="BX102" s="245"/>
      <c r="BY102" s="245"/>
      <c r="BZ102" s="245"/>
      <c r="CA102" s="245"/>
      <c r="CB102" s="245"/>
      <c r="CC102" s="245"/>
      <c r="CD102" s="245"/>
      <c r="CE102" s="245"/>
      <c r="CF102" s="245"/>
      <c r="CG102" s="245"/>
      <c r="CH102" s="245"/>
      <c r="CI102" s="245"/>
      <c r="CJ102" s="245"/>
      <c r="CK102" s="245"/>
      <c r="CL102" s="245"/>
      <c r="CM102" s="245"/>
      <c r="CN102" s="245"/>
      <c r="CO102" s="245"/>
      <c r="CP102" s="245"/>
      <c r="CQ102" s="245"/>
      <c r="CR102" s="245"/>
      <c r="CS102" s="245"/>
      <c r="CT102" s="245"/>
      <c r="CU102" s="245"/>
      <c r="CV102" s="245"/>
      <c r="CW102" s="245"/>
      <c r="CX102" s="245"/>
      <c r="CY102" s="245"/>
      <c r="CZ102" s="245"/>
      <c r="DA102" s="245"/>
      <c r="DB102" s="245"/>
      <c r="DC102" s="245"/>
      <c r="DD102" s="245"/>
      <c r="DE102" s="245"/>
      <c r="DF102" s="245"/>
      <c r="DG102" s="245"/>
      <c r="DH102" s="245"/>
      <c r="DI102" s="245"/>
      <c r="DJ102" s="246"/>
      <c r="DL102" s="245"/>
      <c r="DM102" s="245"/>
      <c r="DN102" s="245"/>
      <c r="DO102" s="245"/>
      <c r="DP102" s="245"/>
      <c r="DQ102" s="245"/>
      <c r="DR102" s="245"/>
      <c r="DS102" s="245"/>
      <c r="DT102" s="245"/>
      <c r="DU102" s="245"/>
      <c r="DV102" s="245"/>
      <c r="DW102" s="245"/>
      <c r="DX102" s="245"/>
      <c r="DY102" s="245"/>
      <c r="DZ102" s="245"/>
      <c r="EA102" s="245"/>
      <c r="EB102" s="245"/>
      <c r="EC102" s="245"/>
      <c r="ED102" s="245"/>
      <c r="EE102" s="245"/>
      <c r="EF102" s="245"/>
      <c r="EG102" s="245"/>
      <c r="EH102" s="245"/>
      <c r="EK102" s="245"/>
    </row>
    <row r="103" spans="1:141" x14ac:dyDescent="0.35">
      <c r="A103" s="211">
        <f>+A102+1</f>
        <v>2</v>
      </c>
      <c r="B103" s="256">
        <v>45807</v>
      </c>
      <c r="C103" s="220">
        <f>+B103-B102</f>
        <v>30</v>
      </c>
      <c r="D103" s="220">
        <f>+C103</f>
        <v>30</v>
      </c>
      <c r="E103" s="257">
        <f t="shared" si="22"/>
        <v>1.3165750000000001</v>
      </c>
      <c r="F103" s="258">
        <f>+IF(E102&gt;0,E103/E102-1," ")</f>
        <v>7.5465348136034338E-2</v>
      </c>
      <c r="G103" s="258">
        <f t="shared" ref="G103:G114" si="23">IF(E102&gt;0,(E103/E102-1)*(360/C103)," ")</f>
        <v>0.90558417763241206</v>
      </c>
      <c r="H103" s="258">
        <f t="shared" ref="H103:H114" si="24">+IF(E102&gt;0,((E103/E102)^(360/C103)-1)," ")</f>
        <v>1.3941814521277287</v>
      </c>
      <c r="I103" s="260">
        <f t="shared" ref="I103:I114" si="25">IF($F$101=$I$101,F103,IF($G$101=$I$101,G103,H103))</f>
        <v>7.5465348136034338E-2</v>
      </c>
      <c r="J103" s="258">
        <f>+E103/E$102-1</f>
        <v>7.5465348136034338E-2</v>
      </c>
      <c r="K103" s="258">
        <f>+J103*(360/D103)</f>
        <v>0.90558417763241206</v>
      </c>
      <c r="L103" s="258">
        <f>+((E103/E$102)^(360/D103))-1</f>
        <v>1.3941814521277287</v>
      </c>
      <c r="M103" s="260">
        <f>IF($F$101=$I$101,J103,IF($G$101=$I$101,K103,L103))</f>
        <v>7.5465348136034338E-2</v>
      </c>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245"/>
      <c r="AP103" s="245"/>
      <c r="AQ103" s="245"/>
      <c r="AR103" s="245"/>
      <c r="AS103" s="245"/>
      <c r="AT103" s="245"/>
      <c r="AU103" s="245"/>
      <c r="AV103" s="245"/>
      <c r="AW103" s="245"/>
      <c r="AX103" s="245"/>
      <c r="AY103" s="245"/>
      <c r="AZ103" s="245"/>
      <c r="BA103" s="245"/>
      <c r="BB103" s="245"/>
      <c r="BC103" s="245"/>
      <c r="BD103" s="245"/>
      <c r="BE103" s="245"/>
      <c r="BF103" s="245"/>
      <c r="BG103" s="245"/>
      <c r="BH103" s="245"/>
      <c r="BI103" s="245"/>
      <c r="BJ103" s="245"/>
      <c r="BK103" s="245"/>
      <c r="BL103" s="245"/>
      <c r="BM103" s="245"/>
      <c r="BN103" s="245"/>
      <c r="BO103" s="245"/>
      <c r="BP103" s="245"/>
      <c r="BQ103" s="245"/>
      <c r="BR103" s="245"/>
      <c r="BS103" s="245"/>
      <c r="BT103" s="245"/>
      <c r="BU103" s="245"/>
      <c r="BV103" s="245"/>
      <c r="BW103" s="245"/>
      <c r="BX103" s="245"/>
      <c r="BY103" s="245"/>
      <c r="BZ103" s="245"/>
      <c r="CA103" s="245"/>
      <c r="CB103" s="245"/>
      <c r="CC103" s="245"/>
      <c r="CD103" s="245"/>
      <c r="CE103" s="245"/>
      <c r="CF103" s="245"/>
      <c r="CG103" s="245"/>
      <c r="CH103" s="245"/>
      <c r="CI103" s="245"/>
      <c r="CJ103" s="245"/>
      <c r="CK103" s="245"/>
      <c r="CL103" s="245"/>
      <c r="CM103" s="245"/>
      <c r="CN103" s="245"/>
      <c r="CO103" s="245"/>
      <c r="CP103" s="245"/>
      <c r="CQ103" s="245"/>
      <c r="CR103" s="245"/>
      <c r="CS103" s="245"/>
      <c r="CT103" s="245"/>
      <c r="CU103" s="245"/>
      <c r="CV103" s="245"/>
      <c r="CW103" s="245"/>
      <c r="CX103" s="245"/>
      <c r="CY103" s="245"/>
      <c r="CZ103" s="245"/>
      <c r="DA103" s="245"/>
      <c r="DB103" s="245"/>
      <c r="DC103" s="245"/>
      <c r="DD103" s="245"/>
      <c r="DE103" s="245"/>
      <c r="DF103" s="245"/>
      <c r="DG103" s="245"/>
      <c r="DH103" s="245"/>
      <c r="DI103" s="245"/>
      <c r="DJ103" s="246"/>
      <c r="DL103" s="245"/>
      <c r="DM103" s="245"/>
      <c r="DN103" s="245"/>
      <c r="DO103" s="245"/>
      <c r="DP103" s="245"/>
      <c r="DQ103" s="245"/>
      <c r="DR103" s="245"/>
      <c r="DS103" s="245"/>
      <c r="DT103" s="245"/>
      <c r="DU103" s="245"/>
      <c r="DV103" s="245"/>
      <c r="DW103" s="245"/>
      <c r="DX103" s="245"/>
      <c r="DY103" s="245"/>
      <c r="DZ103" s="245"/>
      <c r="EA103" s="245"/>
      <c r="EB103" s="245"/>
      <c r="EC103" s="245"/>
      <c r="ED103" s="245"/>
      <c r="EE103" s="245"/>
      <c r="EF103" s="245"/>
      <c r="EG103" s="245"/>
      <c r="EH103" s="245"/>
      <c r="EK103" s="245"/>
    </row>
    <row r="104" spans="1:141" x14ac:dyDescent="0.35">
      <c r="A104" s="211">
        <f t="shared" ref="A104:A114" si="26">+A103+1</f>
        <v>3</v>
      </c>
      <c r="B104" s="256">
        <v>45838</v>
      </c>
      <c r="C104" s="220">
        <f t="shared" ref="C104:C114" si="27">+B104-B103</f>
        <v>31</v>
      </c>
      <c r="D104" s="220">
        <f>+D103+C104</f>
        <v>61</v>
      </c>
      <c r="E104" s="257">
        <f t="shared" si="22"/>
        <v>1.3750720000000001</v>
      </c>
      <c r="F104" s="258">
        <f t="shared" ref="F104:F114" si="28">+IF(E103&gt;0,E104/E103-1," ")</f>
        <v>4.443119457683764E-2</v>
      </c>
      <c r="G104" s="258">
        <f t="shared" si="23"/>
        <v>0.51597516282779199</v>
      </c>
      <c r="H104" s="258">
        <f t="shared" si="24"/>
        <v>0.65672220328820408</v>
      </c>
      <c r="I104" s="260">
        <f t="shared" si="25"/>
        <v>4.443119457683764E-2</v>
      </c>
      <c r="J104" s="258">
        <f t="shared" ref="J104:J114" si="29">+E104/E$102-1</f>
        <v>0.12324955827971285</v>
      </c>
      <c r="K104" s="258">
        <f t="shared" ref="K104:K114" si="30">+J104*(360/D104)</f>
        <v>0.72737444230650206</v>
      </c>
      <c r="L104" s="258">
        <f t="shared" ref="L104:L114" si="31">+((E104/E$102)^(360/D104))-1</f>
        <v>0.98560410121957354</v>
      </c>
      <c r="M104" s="260">
        <f t="shared" ref="M104:M113" si="32">IF($F$101=$I$101,J104,IF($G$101=$I$101,K104,L104))</f>
        <v>0.12324955827971285</v>
      </c>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245"/>
      <c r="AP104" s="245"/>
      <c r="AQ104" s="245"/>
      <c r="AR104" s="245"/>
      <c r="AS104" s="245"/>
      <c r="AT104" s="245"/>
      <c r="AU104" s="245"/>
      <c r="AV104" s="245"/>
      <c r="AW104" s="245"/>
      <c r="AX104" s="245"/>
      <c r="AY104" s="245"/>
      <c r="AZ104" s="245"/>
      <c r="BA104" s="245"/>
      <c r="BB104" s="245"/>
      <c r="BC104" s="245"/>
      <c r="BD104" s="245"/>
      <c r="BE104" s="245"/>
      <c r="BF104" s="245"/>
      <c r="BG104" s="245"/>
      <c r="BH104" s="245"/>
      <c r="BI104" s="245"/>
      <c r="BJ104" s="245"/>
      <c r="BK104" s="245"/>
      <c r="BL104" s="245"/>
      <c r="BM104" s="245"/>
      <c r="BN104" s="245"/>
      <c r="BO104" s="245"/>
      <c r="BP104" s="245"/>
      <c r="BQ104" s="245"/>
      <c r="BR104" s="245"/>
      <c r="BS104" s="245"/>
      <c r="BT104" s="245"/>
      <c r="BU104" s="245"/>
      <c r="BV104" s="245"/>
      <c r="BW104" s="245"/>
      <c r="BX104" s="245"/>
      <c r="BY104" s="245"/>
      <c r="BZ104" s="245"/>
      <c r="CA104" s="245"/>
      <c r="CB104" s="245"/>
      <c r="CC104" s="245"/>
      <c r="CD104" s="245"/>
      <c r="CE104" s="245"/>
      <c r="CF104" s="245"/>
      <c r="CG104" s="245"/>
      <c r="CH104" s="245"/>
      <c r="CI104" s="245"/>
      <c r="CJ104" s="245"/>
      <c r="CK104" s="245"/>
      <c r="CL104" s="245"/>
      <c r="CM104" s="245"/>
      <c r="CN104" s="245"/>
      <c r="CO104" s="245"/>
      <c r="CP104" s="245"/>
      <c r="CQ104" s="245"/>
      <c r="CR104" s="245"/>
      <c r="CS104" s="245"/>
      <c r="CT104" s="245"/>
      <c r="CU104" s="245"/>
      <c r="CV104" s="245"/>
      <c r="CW104" s="245"/>
      <c r="CX104" s="245"/>
      <c r="CY104" s="245"/>
      <c r="CZ104" s="245"/>
      <c r="DA104" s="245"/>
      <c r="DB104" s="245"/>
      <c r="DC104" s="245"/>
      <c r="DD104" s="245"/>
      <c r="DE104" s="245"/>
      <c r="DF104" s="245"/>
      <c r="DG104" s="245"/>
      <c r="DH104" s="245"/>
      <c r="DI104" s="245"/>
      <c r="DJ104" s="246"/>
      <c r="DL104" s="245"/>
      <c r="DM104" s="245"/>
      <c r="DN104" s="245"/>
      <c r="DO104" s="245"/>
      <c r="DP104" s="245"/>
      <c r="DQ104" s="245"/>
      <c r="DR104" s="245"/>
      <c r="DS104" s="245"/>
      <c r="DT104" s="245"/>
      <c r="DU104" s="245"/>
      <c r="DV104" s="245"/>
      <c r="DW104" s="245"/>
      <c r="DX104" s="245"/>
      <c r="DY104" s="245"/>
      <c r="DZ104" s="245"/>
      <c r="EA104" s="245"/>
      <c r="EB104" s="245"/>
      <c r="EC104" s="245"/>
      <c r="ED104" s="245"/>
      <c r="EE104" s="245"/>
      <c r="EF104" s="245"/>
      <c r="EG104" s="245"/>
      <c r="EH104" s="245"/>
      <c r="EK104" s="245"/>
    </row>
    <row r="105" spans="1:141" x14ac:dyDescent="0.35">
      <c r="A105" s="211">
        <f t="shared" si="26"/>
        <v>4</v>
      </c>
      <c r="B105" s="256">
        <v>45869</v>
      </c>
      <c r="C105" s="220">
        <f t="shared" si="27"/>
        <v>31</v>
      </c>
      <c r="D105" s="220">
        <f t="shared" ref="D105:D114" si="33">+D104+C105</f>
        <v>92</v>
      </c>
      <c r="E105" s="257">
        <f t="shared" si="22"/>
        <v>1.4220470000000001</v>
      </c>
      <c r="F105" s="258">
        <f t="shared" si="28"/>
        <v>3.4161847525075117E-2</v>
      </c>
      <c r="G105" s="258">
        <f t="shared" si="23"/>
        <v>0.39671822932345296</v>
      </c>
      <c r="H105" s="258">
        <f t="shared" si="24"/>
        <v>0.47711726446923608</v>
      </c>
      <c r="I105" s="260">
        <f t="shared" si="25"/>
        <v>3.4161847525075117E-2</v>
      </c>
      <c r="J105" s="258">
        <f t="shared" si="29"/>
        <v>0.16162183842227229</v>
      </c>
      <c r="K105" s="258">
        <f t="shared" si="30"/>
        <v>0.63243328078280459</v>
      </c>
      <c r="L105" s="258">
        <f t="shared" si="31"/>
        <v>0.79722009825080753</v>
      </c>
      <c r="M105" s="260">
        <f t="shared" si="32"/>
        <v>0.16162183842227229</v>
      </c>
      <c r="N105" s="245"/>
      <c r="O105" s="245"/>
      <c r="P105" s="245"/>
      <c r="Q105" s="245"/>
      <c r="R105" s="245"/>
      <c r="S105" s="245"/>
      <c r="T105" s="245"/>
      <c r="U105" s="245"/>
      <c r="V105" s="245"/>
      <c r="W105" s="245"/>
      <c r="X105" s="245"/>
      <c r="Y105" s="245"/>
      <c r="Z105" s="245"/>
      <c r="AA105" s="245"/>
      <c r="AB105" s="245"/>
      <c r="AC105" s="245"/>
      <c r="AD105" s="245"/>
      <c r="AE105" s="245"/>
      <c r="AF105" s="245"/>
      <c r="AG105" s="245"/>
      <c r="AH105" s="245"/>
      <c r="AI105" s="245"/>
      <c r="AJ105" s="245"/>
      <c r="AK105" s="245"/>
      <c r="AL105" s="245"/>
      <c r="AM105" s="245"/>
      <c r="AN105" s="245"/>
      <c r="AO105" s="245"/>
      <c r="AP105" s="245"/>
      <c r="AQ105" s="245"/>
      <c r="AR105" s="245"/>
      <c r="AS105" s="245"/>
      <c r="AT105" s="245"/>
      <c r="AU105" s="245"/>
      <c r="AV105" s="245"/>
      <c r="AW105" s="245"/>
      <c r="AX105" s="245"/>
      <c r="AY105" s="245"/>
      <c r="AZ105" s="245"/>
      <c r="BA105" s="245"/>
      <c r="BB105" s="245"/>
      <c r="BC105" s="245"/>
      <c r="BD105" s="245"/>
      <c r="BE105" s="245"/>
      <c r="BF105" s="245"/>
      <c r="BG105" s="245"/>
      <c r="BH105" s="245"/>
      <c r="BI105" s="245"/>
      <c r="BJ105" s="245"/>
      <c r="BK105" s="245"/>
      <c r="BL105" s="245"/>
      <c r="BM105" s="245"/>
      <c r="BN105" s="245"/>
      <c r="BO105" s="245"/>
      <c r="BP105" s="245"/>
      <c r="BQ105" s="245"/>
      <c r="BR105" s="245"/>
      <c r="BS105" s="245"/>
      <c r="BT105" s="245"/>
      <c r="BU105" s="245"/>
      <c r="BV105" s="245"/>
      <c r="BW105" s="245"/>
      <c r="BX105" s="245"/>
      <c r="BY105" s="245"/>
      <c r="BZ105" s="245"/>
      <c r="CA105" s="245"/>
      <c r="CB105" s="245"/>
      <c r="CC105" s="245"/>
      <c r="CD105" s="245"/>
      <c r="CE105" s="245"/>
      <c r="CF105" s="245"/>
      <c r="CG105" s="245"/>
      <c r="CH105" s="245"/>
      <c r="CI105" s="245"/>
      <c r="CJ105" s="245"/>
      <c r="CK105" s="245"/>
      <c r="CL105" s="245"/>
      <c r="CM105" s="245"/>
      <c r="CN105" s="245"/>
      <c r="CO105" s="245"/>
      <c r="CP105" s="245"/>
      <c r="CQ105" s="245"/>
      <c r="CR105" s="245"/>
      <c r="CS105" s="245"/>
      <c r="CT105" s="245"/>
      <c r="CU105" s="245"/>
      <c r="CV105" s="245"/>
      <c r="CW105" s="245"/>
      <c r="CX105" s="245"/>
      <c r="CY105" s="245"/>
      <c r="CZ105" s="245"/>
      <c r="DA105" s="245"/>
      <c r="DB105" s="245"/>
      <c r="DC105" s="245"/>
      <c r="DD105" s="245"/>
      <c r="DE105" s="245"/>
      <c r="DF105" s="245"/>
      <c r="DG105" s="245"/>
      <c r="DH105" s="245"/>
      <c r="DI105" s="245"/>
      <c r="DJ105" s="246"/>
      <c r="DL105" s="245"/>
      <c r="DM105" s="245"/>
      <c r="DN105" s="245"/>
      <c r="DO105" s="245"/>
      <c r="DP105" s="245"/>
      <c r="DQ105" s="245"/>
      <c r="DR105" s="245"/>
      <c r="DS105" s="245"/>
      <c r="DT105" s="245"/>
      <c r="DU105" s="245"/>
      <c r="DV105" s="245"/>
      <c r="DW105" s="245"/>
      <c r="DX105" s="245"/>
      <c r="DY105" s="245"/>
      <c r="DZ105" s="245"/>
      <c r="EA105" s="245"/>
      <c r="EB105" s="245"/>
      <c r="EC105" s="245"/>
      <c r="ED105" s="245"/>
      <c r="EE105" s="245"/>
      <c r="EF105" s="245"/>
      <c r="EG105" s="245"/>
      <c r="EH105" s="245"/>
      <c r="EK105" s="245"/>
    </row>
    <row r="106" spans="1:141" x14ac:dyDescent="0.35">
      <c r="A106" s="211">
        <f t="shared" si="26"/>
        <v>5</v>
      </c>
      <c r="B106" s="256">
        <v>45898</v>
      </c>
      <c r="C106" s="220">
        <f t="shared" si="27"/>
        <v>29</v>
      </c>
      <c r="D106" s="220">
        <f t="shared" si="33"/>
        <v>121</v>
      </c>
      <c r="E106" s="257">
        <f t="shared" si="22"/>
        <v>1.4217109999999999</v>
      </c>
      <c r="F106" s="258">
        <f t="shared" si="28"/>
        <v>-2.3627911032486626E-4</v>
      </c>
      <c r="G106" s="258">
        <f t="shared" si="23"/>
        <v>-2.9331199902397189E-3</v>
      </c>
      <c r="H106" s="258">
        <f t="shared" si="24"/>
        <v>-2.9291681533942793E-3</v>
      </c>
      <c r="I106" s="260">
        <f t="shared" si="25"/>
        <v>-2.3627911032486626E-4</v>
      </c>
      <c r="J106" s="258">
        <f t="shared" si="29"/>
        <v>0.16134737144775602</v>
      </c>
      <c r="K106" s="258">
        <f t="shared" si="30"/>
        <v>0.48004176629084433</v>
      </c>
      <c r="L106" s="258">
        <f t="shared" si="31"/>
        <v>0.5605431881934253</v>
      </c>
      <c r="M106" s="260">
        <f t="shared" si="32"/>
        <v>0.16134737144775602</v>
      </c>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245"/>
      <c r="AP106" s="245"/>
      <c r="AQ106" s="245"/>
      <c r="AR106" s="245"/>
      <c r="AS106" s="245"/>
      <c r="AT106" s="245"/>
      <c r="AU106" s="245"/>
      <c r="AV106" s="245"/>
      <c r="AW106" s="245"/>
      <c r="AX106" s="245"/>
      <c r="AY106" s="245"/>
      <c r="AZ106" s="245"/>
      <c r="BA106" s="245"/>
      <c r="BB106" s="245"/>
      <c r="BC106" s="245"/>
      <c r="BD106" s="245"/>
      <c r="BE106" s="245"/>
      <c r="BF106" s="245"/>
      <c r="BG106" s="245"/>
      <c r="BH106" s="245"/>
      <c r="BI106" s="245"/>
      <c r="BJ106" s="245"/>
      <c r="BK106" s="245"/>
      <c r="BL106" s="245"/>
      <c r="BM106" s="245"/>
      <c r="BN106" s="245"/>
      <c r="BO106" s="245"/>
      <c r="BP106" s="245"/>
      <c r="BQ106" s="245"/>
      <c r="BR106" s="245"/>
      <c r="BS106" s="245"/>
      <c r="BT106" s="245"/>
      <c r="BU106" s="245"/>
      <c r="BV106" s="245"/>
      <c r="BW106" s="245"/>
      <c r="BX106" s="245"/>
      <c r="BY106" s="245"/>
      <c r="BZ106" s="245"/>
      <c r="CA106" s="245"/>
      <c r="CB106" s="245"/>
      <c r="CC106" s="245"/>
      <c r="CD106" s="245"/>
      <c r="CE106" s="245"/>
      <c r="CF106" s="245"/>
      <c r="CG106" s="245"/>
      <c r="CH106" s="245"/>
      <c r="CI106" s="245"/>
      <c r="CJ106" s="245"/>
      <c r="CK106" s="245"/>
      <c r="CL106" s="245"/>
      <c r="CM106" s="245"/>
      <c r="CN106" s="245"/>
      <c r="CO106" s="245"/>
      <c r="CP106" s="245"/>
      <c r="CQ106" s="245"/>
      <c r="CR106" s="245"/>
      <c r="CS106" s="245"/>
      <c r="CT106" s="245"/>
      <c r="CU106" s="245"/>
      <c r="CV106" s="245"/>
      <c r="CW106" s="245"/>
      <c r="CX106" s="245"/>
      <c r="CY106" s="245"/>
      <c r="CZ106" s="245"/>
      <c r="DA106" s="245"/>
      <c r="DB106" s="245"/>
      <c r="DC106" s="245"/>
      <c r="DD106" s="245"/>
      <c r="DE106" s="245"/>
      <c r="DF106" s="245"/>
      <c r="DG106" s="245"/>
      <c r="DH106" s="245"/>
      <c r="DI106" s="245"/>
      <c r="DJ106" s="246"/>
      <c r="DL106" s="245"/>
      <c r="DM106" s="245"/>
      <c r="DN106" s="245"/>
      <c r="DO106" s="245"/>
      <c r="DP106" s="245"/>
      <c r="DQ106" s="245"/>
      <c r="DR106" s="245"/>
      <c r="DS106" s="245"/>
      <c r="DT106" s="245"/>
      <c r="DU106" s="245"/>
      <c r="DV106" s="245"/>
      <c r="DW106" s="245"/>
      <c r="DX106" s="245"/>
      <c r="DY106" s="245"/>
      <c r="DZ106" s="245"/>
      <c r="EA106" s="245"/>
      <c r="EB106" s="245"/>
      <c r="EC106" s="245"/>
      <c r="ED106" s="245"/>
      <c r="EE106" s="245"/>
      <c r="EF106" s="245"/>
      <c r="EG106" s="245"/>
      <c r="EH106" s="245"/>
      <c r="EK106" s="245"/>
    </row>
    <row r="107" spans="1:141" x14ac:dyDescent="0.35">
      <c r="A107" s="211">
        <f t="shared" si="26"/>
        <v>6</v>
      </c>
      <c r="B107" s="256">
        <v>45930</v>
      </c>
      <c r="C107" s="220">
        <f t="shared" si="27"/>
        <v>32</v>
      </c>
      <c r="D107" s="220">
        <f t="shared" si="33"/>
        <v>153</v>
      </c>
      <c r="E107" s="257">
        <f t="shared" si="22"/>
        <v>1.4756130000000001</v>
      </c>
      <c r="F107" s="258">
        <f t="shared" si="28"/>
        <v>3.7913471865941961E-2</v>
      </c>
      <c r="G107" s="258">
        <f t="shared" si="23"/>
        <v>0.42652655849184706</v>
      </c>
      <c r="H107" s="258">
        <f t="shared" si="24"/>
        <v>0.51989269102377555</v>
      </c>
      <c r="I107" s="260">
        <f t="shared" si="25"/>
        <v>3.7913471865941961E-2</v>
      </c>
      <c r="J107" s="258">
        <f t="shared" si="29"/>
        <v>0.20537808234172616</v>
      </c>
      <c r="K107" s="258">
        <f t="shared" si="30"/>
        <v>0.48324254668641453</v>
      </c>
      <c r="L107" s="258">
        <f t="shared" si="31"/>
        <v>0.55195216174630879</v>
      </c>
      <c r="M107" s="260">
        <f t="shared" si="32"/>
        <v>0.20537808234172616</v>
      </c>
      <c r="N107" s="245"/>
      <c r="O107" s="245"/>
      <c r="P107" s="245"/>
      <c r="Q107" s="245"/>
      <c r="R107" s="245"/>
      <c r="S107" s="245"/>
      <c r="T107" s="245"/>
      <c r="U107" s="245"/>
      <c r="V107" s="245"/>
      <c r="W107" s="245"/>
      <c r="X107" s="245"/>
      <c r="Y107" s="245"/>
      <c r="Z107" s="245"/>
      <c r="AA107" s="245"/>
      <c r="AB107" s="245"/>
      <c r="AC107" s="245"/>
      <c r="AD107" s="245"/>
      <c r="AE107" s="245"/>
      <c r="AF107" s="245"/>
      <c r="AG107" s="245"/>
      <c r="AH107" s="245"/>
      <c r="AI107" s="245"/>
      <c r="AJ107" s="245"/>
      <c r="AK107" s="245"/>
      <c r="AL107" s="245"/>
      <c r="AM107" s="245"/>
      <c r="AN107" s="245"/>
      <c r="AO107" s="245"/>
      <c r="AP107" s="245"/>
      <c r="AQ107" s="245"/>
      <c r="AR107" s="245"/>
      <c r="AS107" s="245"/>
      <c r="AT107" s="245"/>
      <c r="AU107" s="245"/>
      <c r="AV107" s="245"/>
      <c r="AW107" s="245"/>
      <c r="AX107" s="245"/>
      <c r="AY107" s="245"/>
      <c r="AZ107" s="245"/>
      <c r="BA107" s="245"/>
      <c r="BB107" s="245"/>
      <c r="BC107" s="245"/>
      <c r="BD107" s="245"/>
      <c r="BE107" s="245"/>
      <c r="BF107" s="245"/>
      <c r="BG107" s="245"/>
      <c r="BH107" s="245"/>
      <c r="BI107" s="245"/>
      <c r="BJ107" s="245"/>
      <c r="BK107" s="245"/>
      <c r="BL107" s="245"/>
      <c r="BM107" s="245"/>
      <c r="BN107" s="245"/>
      <c r="BO107" s="245"/>
      <c r="BP107" s="245"/>
      <c r="BQ107" s="245"/>
      <c r="BR107" s="245"/>
      <c r="BS107" s="245"/>
      <c r="BT107" s="245"/>
      <c r="BU107" s="245"/>
      <c r="BV107" s="245"/>
      <c r="BW107" s="245"/>
      <c r="BX107" s="245"/>
      <c r="BY107" s="245"/>
      <c r="BZ107" s="245"/>
      <c r="CA107" s="245"/>
      <c r="CB107" s="245"/>
      <c r="CC107" s="245"/>
      <c r="CD107" s="245"/>
      <c r="CE107" s="245"/>
      <c r="CF107" s="245"/>
      <c r="CG107" s="245"/>
      <c r="CH107" s="245"/>
      <c r="CI107" s="245"/>
      <c r="CJ107" s="245"/>
      <c r="CK107" s="245"/>
      <c r="CL107" s="245"/>
      <c r="CM107" s="245"/>
      <c r="CN107" s="245"/>
      <c r="CO107" s="245"/>
      <c r="CP107" s="245"/>
      <c r="CQ107" s="245"/>
      <c r="CR107" s="245"/>
      <c r="CS107" s="245"/>
      <c r="CT107" s="245"/>
      <c r="CU107" s="245"/>
      <c r="CV107" s="245"/>
      <c r="CW107" s="245"/>
      <c r="CX107" s="245"/>
      <c r="CY107" s="245"/>
      <c r="CZ107" s="245"/>
      <c r="DA107" s="245"/>
      <c r="DB107" s="245"/>
      <c r="DC107" s="245"/>
      <c r="DD107" s="245"/>
      <c r="DE107" s="245"/>
      <c r="DF107" s="245"/>
      <c r="DG107" s="245"/>
      <c r="DH107" s="245"/>
      <c r="DI107" s="245"/>
      <c r="DJ107" s="246"/>
      <c r="DL107" s="245"/>
      <c r="DM107" s="245"/>
      <c r="DN107" s="245"/>
      <c r="DO107" s="245"/>
      <c r="DP107" s="245"/>
      <c r="DQ107" s="245"/>
      <c r="DR107" s="245"/>
      <c r="DS107" s="245"/>
      <c r="DT107" s="245"/>
      <c r="DU107" s="245"/>
      <c r="DV107" s="245"/>
      <c r="DW107" s="245"/>
      <c r="DX107" s="245"/>
      <c r="DY107" s="245"/>
      <c r="DZ107" s="245"/>
      <c r="EA107" s="245"/>
      <c r="EB107" s="245"/>
      <c r="EC107" s="245"/>
      <c r="ED107" s="245"/>
      <c r="EE107" s="245"/>
      <c r="EF107" s="245"/>
      <c r="EG107" s="245"/>
      <c r="EH107" s="245"/>
      <c r="EK107" s="245"/>
    </row>
    <row r="108" spans="1:141" x14ac:dyDescent="0.35">
      <c r="A108" s="211">
        <f t="shared" si="26"/>
        <v>7</v>
      </c>
      <c r="B108" s="256">
        <v>45961</v>
      </c>
      <c r="C108" s="220">
        <f t="shared" si="27"/>
        <v>31</v>
      </c>
      <c r="D108" s="220">
        <f t="shared" si="33"/>
        <v>184</v>
      </c>
      <c r="E108" s="257">
        <f t="shared" si="22"/>
        <v>1.5688679999999999</v>
      </c>
      <c r="F108" s="258">
        <f t="shared" si="28"/>
        <v>6.3197464375821966E-2</v>
      </c>
      <c r="G108" s="258">
        <f t="shared" si="23"/>
        <v>0.7339060379127712</v>
      </c>
      <c r="H108" s="258">
        <f t="shared" si="24"/>
        <v>1.0373470693759801</v>
      </c>
      <c r="I108" s="260">
        <f t="shared" si="25"/>
        <v>6.3197464375821966E-2</v>
      </c>
      <c r="J108" s="258">
        <f t="shared" si="29"/>
        <v>0.28155492075991395</v>
      </c>
      <c r="K108" s="258">
        <f t="shared" si="30"/>
        <v>0.55086832322591861</v>
      </c>
      <c r="L108" s="258">
        <f t="shared" si="31"/>
        <v>0.62476373868909629</v>
      </c>
      <c r="M108" s="260">
        <f t="shared" si="32"/>
        <v>0.28155492075991395</v>
      </c>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5"/>
      <c r="AZ108" s="245"/>
      <c r="BA108" s="245"/>
      <c r="BB108" s="245"/>
      <c r="BC108" s="245"/>
      <c r="BD108" s="245"/>
      <c r="BE108" s="245"/>
      <c r="BF108" s="245"/>
      <c r="BG108" s="245"/>
      <c r="BH108" s="245"/>
      <c r="BI108" s="245"/>
      <c r="BJ108" s="245"/>
      <c r="BK108" s="245"/>
      <c r="BL108" s="245"/>
      <c r="BM108" s="245"/>
      <c r="BN108" s="245"/>
      <c r="BO108" s="245"/>
      <c r="BP108" s="245"/>
      <c r="BQ108" s="245"/>
      <c r="BR108" s="245"/>
      <c r="BS108" s="245"/>
      <c r="BT108" s="245"/>
      <c r="BU108" s="245"/>
      <c r="BV108" s="245"/>
      <c r="BW108" s="245"/>
      <c r="BX108" s="245"/>
      <c r="BY108" s="245"/>
      <c r="BZ108" s="245"/>
      <c r="CA108" s="245"/>
      <c r="CB108" s="245"/>
      <c r="CC108" s="245"/>
      <c r="CD108" s="245"/>
      <c r="CE108" s="245"/>
      <c r="CF108" s="245"/>
      <c r="CG108" s="245"/>
      <c r="CH108" s="245"/>
      <c r="CI108" s="245"/>
      <c r="CJ108" s="245"/>
      <c r="CK108" s="245"/>
      <c r="CL108" s="245"/>
      <c r="CM108" s="245"/>
      <c r="CN108" s="245"/>
      <c r="CO108" s="245"/>
      <c r="CP108" s="245"/>
      <c r="CQ108" s="245"/>
      <c r="CR108" s="245"/>
      <c r="CS108" s="245"/>
      <c r="CT108" s="245"/>
      <c r="CU108" s="245"/>
      <c r="CV108" s="245"/>
      <c r="CW108" s="245"/>
      <c r="CX108" s="245"/>
      <c r="CY108" s="245"/>
      <c r="CZ108" s="245"/>
      <c r="DA108" s="245"/>
      <c r="DB108" s="245"/>
      <c r="DC108" s="245"/>
      <c r="DD108" s="245"/>
      <c r="DE108" s="245"/>
      <c r="DF108" s="245"/>
      <c r="DG108" s="245"/>
      <c r="DH108" s="245"/>
      <c r="DI108" s="245"/>
      <c r="DJ108" s="246"/>
      <c r="DL108" s="245"/>
      <c r="DM108" s="245"/>
      <c r="DN108" s="245"/>
      <c r="DO108" s="245"/>
      <c r="DP108" s="245"/>
      <c r="DQ108" s="245"/>
      <c r="DR108" s="245"/>
      <c r="DS108" s="245"/>
      <c r="DT108" s="245"/>
      <c r="DU108" s="245"/>
      <c r="DV108" s="245"/>
      <c r="DW108" s="245"/>
      <c r="DX108" s="245"/>
      <c r="DY108" s="245"/>
      <c r="DZ108" s="245"/>
      <c r="EA108" s="245"/>
      <c r="EB108" s="245"/>
      <c r="EC108" s="245"/>
      <c r="ED108" s="245"/>
      <c r="EE108" s="245"/>
      <c r="EF108" s="245"/>
      <c r="EG108" s="245"/>
      <c r="EH108" s="245"/>
      <c r="EK108" s="245"/>
    </row>
    <row r="109" spans="1:141" x14ac:dyDescent="0.35">
      <c r="A109" s="211">
        <f t="shared" si="26"/>
        <v>8</v>
      </c>
      <c r="B109" s="256">
        <v>45989</v>
      </c>
      <c r="C109" s="220">
        <f t="shared" si="27"/>
        <v>28</v>
      </c>
      <c r="D109" s="220">
        <f t="shared" si="33"/>
        <v>212</v>
      </c>
      <c r="E109" s="257">
        <f t="shared" si="22"/>
        <v>1.494785</v>
      </c>
      <c r="F109" s="258">
        <f t="shared" si="28"/>
        <v>-4.7220671210069898E-2</v>
      </c>
      <c r="G109" s="258">
        <f t="shared" si="23"/>
        <v>-0.60712291555804154</v>
      </c>
      <c r="H109" s="258">
        <f t="shared" si="24"/>
        <v>-0.46309019191483791</v>
      </c>
      <c r="I109" s="260">
        <f t="shared" si="25"/>
        <v>-4.7220671210069898E-2</v>
      </c>
      <c r="J109" s="258">
        <f t="shared" si="29"/>
        <v>0.22103903720906293</v>
      </c>
      <c r="K109" s="258">
        <f t="shared" si="30"/>
        <v>0.37534930846822007</v>
      </c>
      <c r="L109" s="258">
        <f t="shared" si="31"/>
        <v>0.40370740918647829</v>
      </c>
      <c r="M109" s="260">
        <f t="shared" si="32"/>
        <v>0.22103903720906293</v>
      </c>
      <c r="N109" s="245"/>
      <c r="O109" s="245"/>
      <c r="P109" s="245"/>
      <c r="Q109" s="245"/>
      <c r="R109" s="245"/>
      <c r="S109" s="245"/>
      <c r="T109" s="245"/>
      <c r="U109" s="245"/>
      <c r="V109" s="245"/>
      <c r="W109" s="245"/>
      <c r="X109" s="245"/>
      <c r="Y109" s="245"/>
      <c r="Z109" s="245"/>
      <c r="AA109" s="245"/>
      <c r="AB109" s="245"/>
      <c r="AC109" s="245"/>
      <c r="AD109" s="245"/>
      <c r="AE109" s="245"/>
      <c r="AF109" s="245"/>
      <c r="AG109" s="245"/>
      <c r="AH109" s="245"/>
      <c r="AI109" s="245"/>
      <c r="AJ109" s="245"/>
      <c r="AK109" s="245"/>
      <c r="AL109" s="245"/>
      <c r="AM109" s="245"/>
      <c r="AN109" s="245"/>
      <c r="AO109" s="245"/>
      <c r="AP109" s="245"/>
      <c r="AQ109" s="245"/>
      <c r="AR109" s="245"/>
      <c r="AS109" s="245"/>
      <c r="AT109" s="245"/>
      <c r="AU109" s="245"/>
      <c r="AV109" s="245"/>
      <c r="AW109" s="245"/>
      <c r="AX109" s="245"/>
      <c r="AY109" s="245"/>
      <c r="AZ109" s="245"/>
      <c r="BA109" s="245"/>
      <c r="BB109" s="245"/>
      <c r="BC109" s="245"/>
      <c r="BD109" s="245"/>
      <c r="BE109" s="245"/>
      <c r="BF109" s="245"/>
      <c r="BG109" s="245"/>
      <c r="BH109" s="245"/>
      <c r="BI109" s="245"/>
      <c r="BJ109" s="245"/>
      <c r="BK109" s="245"/>
      <c r="BL109" s="245"/>
      <c r="BM109" s="245"/>
      <c r="BN109" s="245"/>
      <c r="BO109" s="245"/>
      <c r="BP109" s="245"/>
      <c r="BQ109" s="245"/>
      <c r="BR109" s="245"/>
      <c r="BS109" s="245"/>
      <c r="BT109" s="245"/>
      <c r="BU109" s="245"/>
      <c r="BV109" s="245"/>
      <c r="BW109" s="245"/>
      <c r="BX109" s="245"/>
      <c r="BY109" s="245"/>
      <c r="BZ109" s="245"/>
      <c r="CA109" s="245"/>
      <c r="CB109" s="245"/>
      <c r="CC109" s="245"/>
      <c r="CD109" s="245"/>
      <c r="CE109" s="245"/>
      <c r="CF109" s="245"/>
      <c r="CG109" s="245"/>
      <c r="CH109" s="245"/>
      <c r="CI109" s="245"/>
      <c r="CJ109" s="245"/>
      <c r="CK109" s="245"/>
      <c r="CL109" s="245"/>
      <c r="CM109" s="245"/>
      <c r="CN109" s="245"/>
      <c r="CO109" s="245"/>
      <c r="CP109" s="245"/>
      <c r="CQ109" s="245"/>
      <c r="CR109" s="245"/>
      <c r="CS109" s="245"/>
      <c r="CT109" s="245"/>
      <c r="CU109" s="245"/>
      <c r="CV109" s="245"/>
      <c r="CW109" s="245"/>
      <c r="CX109" s="245"/>
      <c r="CY109" s="245"/>
      <c r="CZ109" s="245"/>
      <c r="DA109" s="245"/>
      <c r="DB109" s="245"/>
      <c r="DC109" s="245"/>
      <c r="DD109" s="245"/>
      <c r="DE109" s="245"/>
      <c r="DF109" s="245"/>
      <c r="DG109" s="245"/>
      <c r="DH109" s="245"/>
      <c r="DI109" s="245"/>
      <c r="DJ109" s="246"/>
      <c r="DL109" s="245"/>
      <c r="DM109" s="245"/>
      <c r="DN109" s="245"/>
      <c r="DO109" s="245"/>
      <c r="DP109" s="245"/>
      <c r="DQ109" s="245"/>
      <c r="DR109" s="245"/>
      <c r="DS109" s="245"/>
      <c r="DT109" s="245"/>
      <c r="DU109" s="245"/>
      <c r="DV109" s="245"/>
      <c r="DW109" s="245"/>
      <c r="DX109" s="245"/>
      <c r="DY109" s="245"/>
      <c r="DZ109" s="245"/>
      <c r="EA109" s="245"/>
      <c r="EB109" s="245"/>
      <c r="EC109" s="245"/>
      <c r="ED109" s="245"/>
      <c r="EE109" s="245"/>
      <c r="EF109" s="245"/>
      <c r="EG109" s="245"/>
      <c r="EH109" s="245"/>
      <c r="EK109" s="245"/>
    </row>
    <row r="110" spans="1:141" x14ac:dyDescent="0.35">
      <c r="A110" s="211">
        <f t="shared" si="26"/>
        <v>9</v>
      </c>
      <c r="B110" s="256">
        <v>46022</v>
      </c>
      <c r="C110" s="220">
        <f t="shared" si="27"/>
        <v>33</v>
      </c>
      <c r="D110" s="220">
        <f t="shared" si="33"/>
        <v>245</v>
      </c>
      <c r="E110" s="257">
        <f t="shared" si="22"/>
        <v>1.465935</v>
      </c>
      <c r="F110" s="258">
        <f t="shared" si="28"/>
        <v>-1.9300434510648667E-2</v>
      </c>
      <c r="G110" s="258">
        <f t="shared" si="23"/>
        <v>-0.21055019466162181</v>
      </c>
      <c r="H110" s="258">
        <f t="shared" si="24"/>
        <v>-0.19152747073669585</v>
      </c>
      <c r="I110" s="260">
        <f t="shared" si="25"/>
        <v>-1.9300434510648667E-2</v>
      </c>
      <c r="J110" s="258">
        <f t="shared" si="29"/>
        <v>0.19747245323646379</v>
      </c>
      <c r="K110" s="258">
        <f t="shared" si="30"/>
        <v>0.29016360475562025</v>
      </c>
      <c r="L110" s="258">
        <f t="shared" si="31"/>
        <v>0.30317402161682017</v>
      </c>
      <c r="M110" s="260">
        <f t="shared" si="32"/>
        <v>0.19747245323646379</v>
      </c>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45"/>
      <c r="AP110" s="245"/>
      <c r="AQ110" s="245"/>
      <c r="AR110" s="245"/>
      <c r="AS110" s="245"/>
      <c r="AT110" s="245"/>
      <c r="AU110" s="245"/>
      <c r="AV110" s="245"/>
      <c r="AW110" s="245"/>
      <c r="AX110" s="245"/>
      <c r="AY110" s="245"/>
      <c r="AZ110" s="245"/>
      <c r="BA110" s="245"/>
      <c r="BB110" s="245"/>
      <c r="BC110" s="245"/>
      <c r="BD110" s="245"/>
      <c r="BE110" s="245"/>
      <c r="BF110" s="245"/>
      <c r="BG110" s="245"/>
      <c r="BH110" s="245"/>
      <c r="BI110" s="245"/>
      <c r="BJ110" s="245"/>
      <c r="BK110" s="245"/>
      <c r="BL110" s="245"/>
      <c r="BM110" s="245"/>
      <c r="BN110" s="245"/>
      <c r="BO110" s="245"/>
      <c r="BP110" s="245"/>
      <c r="BQ110" s="245"/>
      <c r="BR110" s="245"/>
      <c r="BS110" s="245"/>
      <c r="BT110" s="245"/>
      <c r="BU110" s="245"/>
      <c r="BV110" s="245"/>
      <c r="BW110" s="245"/>
      <c r="BX110" s="245"/>
      <c r="BY110" s="245"/>
      <c r="BZ110" s="245"/>
      <c r="CA110" s="245"/>
      <c r="CB110" s="245"/>
      <c r="CC110" s="245"/>
      <c r="CD110" s="245"/>
      <c r="CE110" s="245"/>
      <c r="CF110" s="245"/>
      <c r="CG110" s="245"/>
      <c r="CH110" s="245"/>
      <c r="CI110" s="245"/>
      <c r="CJ110" s="245"/>
      <c r="CK110" s="245"/>
      <c r="CL110" s="245"/>
      <c r="CM110" s="245"/>
      <c r="CN110" s="245"/>
      <c r="CO110" s="245"/>
      <c r="CP110" s="245"/>
      <c r="CQ110" s="245"/>
      <c r="CR110" s="245"/>
      <c r="CS110" s="245"/>
      <c r="CT110" s="245"/>
      <c r="CU110" s="245"/>
      <c r="CV110" s="245"/>
      <c r="CW110" s="245"/>
      <c r="CX110" s="245"/>
      <c r="CY110" s="245"/>
      <c r="CZ110" s="245"/>
      <c r="DA110" s="245"/>
      <c r="DB110" s="245"/>
      <c r="DC110" s="245"/>
      <c r="DD110" s="245"/>
      <c r="DE110" s="245"/>
      <c r="DF110" s="245"/>
      <c r="DG110" s="245"/>
      <c r="DH110" s="245"/>
      <c r="DI110" s="245"/>
      <c r="DJ110" s="246"/>
      <c r="DL110" s="245"/>
      <c r="DM110" s="245"/>
      <c r="DN110" s="245"/>
      <c r="DO110" s="245"/>
      <c r="DP110" s="245"/>
      <c r="DQ110" s="245"/>
      <c r="DR110" s="245"/>
      <c r="DS110" s="245"/>
      <c r="DT110" s="245"/>
      <c r="DU110" s="245"/>
      <c r="DV110" s="245"/>
      <c r="DW110" s="245"/>
      <c r="DX110" s="245"/>
      <c r="DY110" s="245"/>
      <c r="DZ110" s="245"/>
      <c r="EA110" s="245"/>
      <c r="EB110" s="245"/>
      <c r="EC110" s="245"/>
      <c r="ED110" s="245"/>
      <c r="EE110" s="245"/>
      <c r="EF110" s="245"/>
      <c r="EG110" s="245"/>
      <c r="EH110" s="245"/>
      <c r="EK110" s="245"/>
    </row>
    <row r="111" spans="1:141" x14ac:dyDescent="0.35">
      <c r="A111" s="211">
        <f t="shared" si="26"/>
        <v>10</v>
      </c>
      <c r="B111" s="256">
        <v>46052</v>
      </c>
      <c r="C111" s="220">
        <f t="shared" si="27"/>
        <v>30</v>
      </c>
      <c r="D111" s="220">
        <f t="shared" si="33"/>
        <v>275</v>
      </c>
      <c r="E111" s="257">
        <f t="shared" si="22"/>
        <v>1.4239980000000001</v>
      </c>
      <c r="F111" s="258">
        <f t="shared" si="28"/>
        <v>-2.8607680422392479E-2</v>
      </c>
      <c r="G111" s="258">
        <f t="shared" si="23"/>
        <v>-0.34329216506870974</v>
      </c>
      <c r="H111" s="258">
        <f t="shared" si="24"/>
        <v>-0.29411169895095124</v>
      </c>
      <c r="I111" s="260">
        <f t="shared" si="25"/>
        <v>-2.8607680422392479E-2</v>
      </c>
      <c r="J111" s="258">
        <f t="shared" si="29"/>
        <v>0.16321554397965676</v>
      </c>
      <c r="K111" s="258">
        <f t="shared" si="30"/>
        <v>0.21366398484609611</v>
      </c>
      <c r="L111" s="258">
        <f t="shared" si="31"/>
        <v>0.21886376689945974</v>
      </c>
      <c r="M111" s="260">
        <f t="shared" si="32"/>
        <v>0.16321554397965676</v>
      </c>
      <c r="N111" s="245"/>
      <c r="O111" s="245"/>
      <c r="P111" s="245"/>
      <c r="Q111" s="245"/>
      <c r="R111" s="245"/>
      <c r="S111" s="245"/>
      <c r="T111" s="245"/>
      <c r="U111" s="245"/>
      <c r="V111" s="245"/>
      <c r="W111" s="245"/>
      <c r="X111" s="245"/>
      <c r="Y111" s="245"/>
      <c r="Z111" s="245"/>
      <c r="AA111" s="245"/>
      <c r="AB111" s="245"/>
      <c r="AC111" s="245"/>
      <c r="AD111" s="245"/>
      <c r="AE111" s="245"/>
      <c r="AF111" s="245"/>
      <c r="AG111" s="245"/>
      <c r="AH111" s="245"/>
      <c r="AI111" s="245"/>
      <c r="AJ111" s="245"/>
      <c r="AK111" s="245"/>
      <c r="AL111" s="245"/>
      <c r="AM111" s="245"/>
      <c r="AN111" s="245"/>
      <c r="AO111" s="245"/>
      <c r="AP111" s="245"/>
      <c r="AQ111" s="245"/>
      <c r="AR111" s="245"/>
      <c r="AS111" s="245"/>
      <c r="AT111" s="245"/>
      <c r="AU111" s="245"/>
      <c r="AV111" s="245"/>
      <c r="AW111" s="245"/>
      <c r="AX111" s="245"/>
      <c r="AY111" s="245"/>
      <c r="AZ111" s="245"/>
      <c r="BA111" s="245"/>
      <c r="BB111" s="245"/>
      <c r="BC111" s="245"/>
      <c r="BD111" s="245"/>
      <c r="BE111" s="245"/>
      <c r="BF111" s="245"/>
      <c r="BG111" s="245"/>
      <c r="BH111" s="245"/>
      <c r="BI111" s="245"/>
      <c r="BJ111" s="245"/>
      <c r="BK111" s="245"/>
      <c r="BL111" s="245"/>
      <c r="BM111" s="245"/>
      <c r="BN111" s="245"/>
      <c r="BO111" s="245"/>
      <c r="BP111" s="245"/>
      <c r="BQ111" s="245"/>
      <c r="BR111" s="245"/>
      <c r="BS111" s="245"/>
      <c r="BT111" s="245"/>
      <c r="BU111" s="245"/>
      <c r="BV111" s="245"/>
      <c r="BW111" s="245"/>
      <c r="BX111" s="245"/>
      <c r="BY111" s="245"/>
      <c r="BZ111" s="245"/>
      <c r="CA111" s="245"/>
      <c r="CB111" s="245"/>
      <c r="CC111" s="245"/>
      <c r="CD111" s="245"/>
      <c r="CE111" s="245"/>
      <c r="CF111" s="245"/>
      <c r="CG111" s="245"/>
      <c r="CH111" s="245"/>
      <c r="CI111" s="245"/>
      <c r="CJ111" s="245"/>
      <c r="CK111" s="245"/>
      <c r="CL111" s="245"/>
      <c r="CM111" s="245"/>
      <c r="CN111" s="245"/>
      <c r="CO111" s="245"/>
      <c r="CP111" s="245"/>
      <c r="CQ111" s="245"/>
      <c r="CR111" s="245"/>
      <c r="CS111" s="245"/>
      <c r="CT111" s="245"/>
      <c r="CU111" s="245"/>
      <c r="CV111" s="245"/>
      <c r="CW111" s="245"/>
      <c r="CX111" s="245"/>
      <c r="CY111" s="245"/>
      <c r="CZ111" s="245"/>
      <c r="DA111" s="245"/>
      <c r="DB111" s="245"/>
      <c r="DC111" s="245"/>
      <c r="DD111" s="245"/>
      <c r="DE111" s="245"/>
      <c r="DF111" s="245"/>
      <c r="DG111" s="245"/>
      <c r="DH111" s="245"/>
      <c r="DI111" s="245"/>
      <c r="DJ111" s="246"/>
      <c r="DL111" s="245"/>
      <c r="DM111" s="245"/>
      <c r="DN111" s="245"/>
      <c r="DO111" s="245"/>
      <c r="DP111" s="245"/>
      <c r="DQ111" s="245"/>
      <c r="DR111" s="245"/>
      <c r="DS111" s="245"/>
      <c r="DT111" s="245"/>
      <c r="DU111" s="245"/>
      <c r="DV111" s="245"/>
      <c r="DW111" s="245"/>
      <c r="DX111" s="245"/>
      <c r="DY111" s="245"/>
      <c r="DZ111" s="245"/>
      <c r="EA111" s="245"/>
      <c r="EB111" s="245"/>
      <c r="EC111" s="245"/>
      <c r="ED111" s="245"/>
      <c r="EE111" s="245"/>
      <c r="EF111" s="245"/>
      <c r="EG111" s="245"/>
      <c r="EH111" s="245"/>
      <c r="EK111" s="245"/>
    </row>
    <row r="112" spans="1:141" x14ac:dyDescent="0.35">
      <c r="A112" s="211">
        <f t="shared" si="26"/>
        <v>11</v>
      </c>
      <c r="B112" s="256">
        <v>46080</v>
      </c>
      <c r="C112" s="220">
        <f t="shared" si="27"/>
        <v>28</v>
      </c>
      <c r="D112" s="220">
        <f t="shared" si="33"/>
        <v>303</v>
      </c>
      <c r="E112" s="257">
        <f t="shared" si="22"/>
        <v>1.3717250000000001</v>
      </c>
      <c r="F112" s="258">
        <f t="shared" si="28"/>
        <v>-3.6708618972779439E-2</v>
      </c>
      <c r="G112" s="258">
        <f t="shared" si="23"/>
        <v>-0.47196795822144993</v>
      </c>
      <c r="H112" s="258">
        <f t="shared" si="24"/>
        <v>-0.38174149333579477</v>
      </c>
      <c r="I112" s="260">
        <f t="shared" si="25"/>
        <v>-3.6708618972779439E-2</v>
      </c>
      <c r="J112" s="258">
        <f t="shared" si="29"/>
        <v>0.12051550779249331</v>
      </c>
      <c r="K112" s="258">
        <f t="shared" si="30"/>
        <v>0.14318674193167522</v>
      </c>
      <c r="L112" s="258">
        <f t="shared" si="31"/>
        <v>0.14475962250598506</v>
      </c>
      <c r="M112" s="260">
        <f t="shared" si="32"/>
        <v>0.12051550779249331</v>
      </c>
      <c r="N112" s="245"/>
      <c r="O112" s="245"/>
      <c r="P112" s="245"/>
      <c r="Q112" s="245"/>
      <c r="R112" s="245"/>
      <c r="S112" s="245"/>
      <c r="T112" s="245"/>
      <c r="U112" s="245"/>
      <c r="V112" s="245"/>
      <c r="W112" s="245"/>
      <c r="X112" s="245"/>
      <c r="Y112" s="245"/>
      <c r="Z112" s="245"/>
      <c r="AA112" s="245"/>
      <c r="AB112" s="245"/>
      <c r="AC112" s="245"/>
      <c r="AD112" s="245"/>
      <c r="AE112" s="245"/>
      <c r="AF112" s="245"/>
      <c r="AG112" s="245"/>
      <c r="AH112" s="245"/>
      <c r="AI112" s="245"/>
      <c r="AJ112" s="245"/>
      <c r="AK112" s="245"/>
      <c r="AL112" s="245"/>
      <c r="AM112" s="245"/>
      <c r="AN112" s="245"/>
      <c r="AO112" s="245"/>
      <c r="AP112" s="245"/>
      <c r="AQ112" s="245"/>
      <c r="AR112" s="245"/>
      <c r="AS112" s="245"/>
      <c r="AT112" s="245"/>
      <c r="AU112" s="245"/>
      <c r="AV112" s="245"/>
      <c r="AW112" s="245"/>
      <c r="AX112" s="245"/>
      <c r="AY112" s="245"/>
      <c r="AZ112" s="245"/>
      <c r="BA112" s="245"/>
      <c r="BB112" s="245"/>
      <c r="BC112" s="245"/>
      <c r="BD112" s="245"/>
      <c r="BE112" s="245"/>
      <c r="BF112" s="245"/>
      <c r="BG112" s="245"/>
      <c r="BH112" s="245"/>
      <c r="BI112" s="245"/>
      <c r="BJ112" s="245"/>
      <c r="BK112" s="245"/>
      <c r="BL112" s="245"/>
      <c r="BM112" s="245"/>
      <c r="BN112" s="245"/>
      <c r="BO112" s="245"/>
      <c r="BP112" s="245"/>
      <c r="BQ112" s="245"/>
      <c r="BR112" s="245"/>
      <c r="BS112" s="245"/>
      <c r="BT112" s="245"/>
      <c r="BU112" s="245"/>
      <c r="BV112" s="245"/>
      <c r="BW112" s="245"/>
      <c r="BX112" s="245"/>
      <c r="BY112" s="245"/>
      <c r="BZ112" s="245"/>
      <c r="CA112" s="245"/>
      <c r="CB112" s="245"/>
      <c r="CC112" s="245"/>
      <c r="CD112" s="245"/>
      <c r="CE112" s="245"/>
      <c r="CF112" s="245"/>
      <c r="CG112" s="245"/>
      <c r="CH112" s="245"/>
      <c r="CI112" s="245"/>
      <c r="CJ112" s="245"/>
      <c r="CK112" s="245"/>
      <c r="CL112" s="245"/>
      <c r="CM112" s="245"/>
      <c r="CN112" s="245"/>
      <c r="CO112" s="245"/>
      <c r="CP112" s="245"/>
      <c r="CQ112" s="245"/>
      <c r="CR112" s="245"/>
      <c r="CS112" s="245"/>
      <c r="CT112" s="245"/>
      <c r="CU112" s="245"/>
      <c r="CV112" s="245"/>
      <c r="CW112" s="245"/>
      <c r="CX112" s="245"/>
      <c r="CY112" s="245"/>
      <c r="CZ112" s="245"/>
      <c r="DA112" s="245"/>
      <c r="DB112" s="245"/>
      <c r="DC112" s="245"/>
      <c r="DD112" s="245"/>
      <c r="DE112" s="245"/>
      <c r="DF112" s="245"/>
      <c r="DG112" s="245"/>
      <c r="DH112" s="245"/>
      <c r="DI112" s="245"/>
      <c r="DJ112" s="246"/>
      <c r="DL112" s="245"/>
      <c r="DM112" s="245"/>
      <c r="DN112" s="245"/>
      <c r="DO112" s="245"/>
      <c r="DP112" s="245"/>
      <c r="DQ112" s="245"/>
      <c r="DR112" s="245"/>
      <c r="DS112" s="245"/>
      <c r="DT112" s="245"/>
      <c r="DU112" s="245"/>
      <c r="DV112" s="245"/>
      <c r="DW112" s="245"/>
      <c r="DX112" s="245"/>
      <c r="DY112" s="245"/>
      <c r="DZ112" s="245"/>
      <c r="EA112" s="245"/>
      <c r="EB112" s="245"/>
      <c r="EC112" s="245"/>
      <c r="ED112" s="245"/>
      <c r="EE112" s="245"/>
      <c r="EF112" s="245"/>
      <c r="EG112" s="245"/>
      <c r="EH112" s="245"/>
      <c r="EK112" s="245"/>
    </row>
    <row r="113" spans="1:141" x14ac:dyDescent="0.35">
      <c r="A113" s="211">
        <f t="shared" si="26"/>
        <v>12</v>
      </c>
      <c r="B113" s="256">
        <v>46112</v>
      </c>
      <c r="C113" s="220">
        <f t="shared" si="27"/>
        <v>32</v>
      </c>
      <c r="D113" s="220">
        <f t="shared" si="33"/>
        <v>335</v>
      </c>
      <c r="E113" s="257">
        <f t="shared" si="22"/>
        <v>1.365127</v>
      </c>
      <c r="F113" s="258">
        <f t="shared" si="28"/>
        <v>-4.8100020047751046E-3</v>
      </c>
      <c r="G113" s="258">
        <f t="shared" si="23"/>
        <v>-5.4112522553719927E-2</v>
      </c>
      <c r="H113" s="258">
        <f t="shared" si="24"/>
        <v>-5.2798169251514815E-2</v>
      </c>
      <c r="I113" s="260">
        <f t="shared" si="25"/>
        <v>-4.8100020047751046E-3</v>
      </c>
      <c r="J113" s="258">
        <f t="shared" si="29"/>
        <v>0.11512582595362963</v>
      </c>
      <c r="K113" s="258">
        <f t="shared" si="30"/>
        <v>0.12371730550240796</v>
      </c>
      <c r="L113" s="258">
        <f t="shared" si="31"/>
        <v>0.12423087033506541</v>
      </c>
      <c r="M113" s="260">
        <f t="shared" si="32"/>
        <v>0.11512582595362963</v>
      </c>
      <c r="N113" s="245"/>
      <c r="O113" s="245"/>
      <c r="P113" s="245"/>
      <c r="Q113" s="245"/>
      <c r="R113" s="245"/>
      <c r="S113" s="245"/>
      <c r="T113" s="245"/>
      <c r="U113" s="245"/>
      <c r="V113" s="245"/>
      <c r="W113" s="245"/>
      <c r="X113" s="245"/>
      <c r="Y113" s="245"/>
      <c r="Z113" s="245"/>
      <c r="AA113" s="245"/>
      <c r="AB113" s="245"/>
      <c r="AC113" s="245"/>
      <c r="AD113" s="245"/>
      <c r="AE113" s="245"/>
      <c r="AF113" s="245"/>
      <c r="AG113" s="245"/>
      <c r="AH113" s="245"/>
      <c r="AI113" s="245"/>
      <c r="AJ113" s="245"/>
      <c r="AK113" s="245"/>
      <c r="AL113" s="245"/>
      <c r="AM113" s="245"/>
      <c r="AN113" s="245"/>
      <c r="AO113" s="245"/>
      <c r="AP113" s="245"/>
      <c r="AQ113" s="245"/>
      <c r="AR113" s="245"/>
      <c r="AS113" s="245"/>
      <c r="AT113" s="245"/>
      <c r="AU113" s="245"/>
      <c r="AV113" s="245"/>
      <c r="AW113" s="245"/>
      <c r="AX113" s="245"/>
      <c r="AY113" s="245"/>
      <c r="AZ113" s="245"/>
      <c r="BA113" s="245"/>
      <c r="BB113" s="245"/>
      <c r="BC113" s="245"/>
      <c r="BD113" s="245"/>
      <c r="BE113" s="245"/>
      <c r="BF113" s="245"/>
      <c r="BG113" s="245"/>
      <c r="BH113" s="245"/>
      <c r="BI113" s="245"/>
      <c r="BJ113" s="245"/>
      <c r="BK113" s="245"/>
      <c r="BL113" s="245"/>
      <c r="BM113" s="245"/>
      <c r="BN113" s="245"/>
      <c r="BO113" s="245"/>
      <c r="BP113" s="245"/>
      <c r="BQ113" s="245"/>
      <c r="BR113" s="245"/>
      <c r="BS113" s="245"/>
      <c r="BT113" s="245"/>
      <c r="BU113" s="245"/>
      <c r="BV113" s="245"/>
      <c r="BW113" s="245"/>
      <c r="BX113" s="245"/>
      <c r="BY113" s="245"/>
      <c r="BZ113" s="245"/>
      <c r="CA113" s="245"/>
      <c r="CB113" s="245"/>
      <c r="CC113" s="245"/>
      <c r="CD113" s="245"/>
      <c r="CE113" s="245"/>
      <c r="CF113" s="245"/>
      <c r="CG113" s="245"/>
      <c r="CH113" s="245"/>
      <c r="CI113" s="245"/>
      <c r="CJ113" s="245"/>
      <c r="CK113" s="245"/>
      <c r="CL113" s="245"/>
      <c r="CM113" s="245"/>
      <c r="CN113" s="245"/>
      <c r="CO113" s="245"/>
      <c r="CP113" s="245"/>
      <c r="CQ113" s="245"/>
      <c r="CR113" s="245"/>
      <c r="CS113" s="245"/>
      <c r="CT113" s="245"/>
      <c r="CU113" s="245"/>
      <c r="CV113" s="245"/>
      <c r="CW113" s="245"/>
      <c r="CX113" s="245"/>
      <c r="CY113" s="245"/>
      <c r="CZ113" s="245"/>
      <c r="DA113" s="245"/>
      <c r="DB113" s="245"/>
      <c r="DC113" s="245"/>
      <c r="DD113" s="245"/>
      <c r="DE113" s="245"/>
      <c r="DF113" s="245"/>
      <c r="DG113" s="245"/>
      <c r="DH113" s="245"/>
      <c r="DI113" s="245"/>
      <c r="DJ113" s="246"/>
      <c r="DL113" s="245"/>
      <c r="DM113" s="245"/>
      <c r="DN113" s="245"/>
      <c r="DO113" s="245"/>
      <c r="DP113" s="245"/>
      <c r="DQ113" s="245"/>
      <c r="DR113" s="245"/>
      <c r="DS113" s="245"/>
      <c r="DT113" s="245"/>
      <c r="DU113" s="245"/>
      <c r="DV113" s="245"/>
      <c r="DW113" s="245"/>
      <c r="DX113" s="245"/>
      <c r="DY113" s="245"/>
      <c r="DZ113" s="245"/>
      <c r="EA113" s="245"/>
      <c r="EB113" s="245"/>
      <c r="EC113" s="245"/>
      <c r="ED113" s="245"/>
      <c r="EE113" s="245"/>
      <c r="EF113" s="245"/>
      <c r="EG113" s="245"/>
      <c r="EH113" s="245"/>
      <c r="EK113" s="245"/>
    </row>
    <row r="114" spans="1:141" x14ac:dyDescent="0.35">
      <c r="A114" s="211">
        <f t="shared" si="26"/>
        <v>13</v>
      </c>
      <c r="B114" s="261">
        <v>46142</v>
      </c>
      <c r="C114" s="220">
        <f t="shared" si="27"/>
        <v>30</v>
      </c>
      <c r="D114" s="220">
        <f t="shared" si="33"/>
        <v>365</v>
      </c>
      <c r="E114" s="257">
        <f t="shared" si="22"/>
        <v>1.5378210000000001</v>
      </c>
      <c r="F114" s="258">
        <f t="shared" si="28"/>
        <v>0.12650398094829285</v>
      </c>
      <c r="G114" s="258">
        <f t="shared" si="23"/>
        <v>1.5180477713795142</v>
      </c>
      <c r="H114" s="258">
        <f t="shared" si="24"/>
        <v>3.1763104008059315</v>
      </c>
      <c r="I114" s="260">
        <f t="shared" si="25"/>
        <v>0.12650398094829285</v>
      </c>
      <c r="J114" s="258">
        <f t="shared" si="29"/>
        <v>0.25619368219501704</v>
      </c>
      <c r="K114" s="258">
        <f t="shared" si="30"/>
        <v>0.25268417969919488</v>
      </c>
      <c r="L114" s="258">
        <f t="shared" si="31"/>
        <v>0.25227486884563244</v>
      </c>
      <c r="M114" s="260">
        <f>IF($F$101=$I$101,J114,IF($G$101=$I$101,K114,L114))</f>
        <v>0.25619368219501704</v>
      </c>
      <c r="N114" s="245"/>
      <c r="O114" s="247" t="s">
        <v>148</v>
      </c>
      <c r="P114" s="247">
        <v>1.552041</v>
      </c>
      <c r="Q114" s="247">
        <v>1.708777</v>
      </c>
      <c r="R114" s="262">
        <f>+((Q114/P114)^(360/O115))-1</f>
        <v>9.9536982219072367E-2</v>
      </c>
      <c r="S114" s="245"/>
      <c r="T114" s="245"/>
      <c r="U114" s="245"/>
      <c r="V114" s="245"/>
      <c r="W114" s="245"/>
      <c r="X114" s="245"/>
      <c r="Y114" s="245"/>
      <c r="Z114" s="245"/>
      <c r="AA114" s="245"/>
      <c r="AB114" s="245"/>
      <c r="AC114" s="245"/>
      <c r="AD114" s="245"/>
      <c r="AE114" s="245"/>
      <c r="AF114" s="245"/>
      <c r="AG114" s="245"/>
      <c r="AH114" s="245"/>
      <c r="AI114" s="245"/>
      <c r="AJ114" s="245"/>
      <c r="AK114" s="245"/>
      <c r="AL114" s="245"/>
      <c r="AM114" s="245"/>
      <c r="AN114" s="245"/>
      <c r="AO114" s="245"/>
      <c r="AP114" s="245"/>
      <c r="AQ114" s="245"/>
      <c r="AR114" s="245"/>
      <c r="AS114" s="245"/>
      <c r="AT114" s="245"/>
      <c r="AU114" s="245"/>
      <c r="AV114" s="245"/>
      <c r="AW114" s="245"/>
      <c r="AX114" s="245"/>
      <c r="AY114" s="245"/>
      <c r="AZ114" s="245"/>
      <c r="BA114" s="245"/>
      <c r="BB114" s="245"/>
      <c r="BC114" s="245"/>
      <c r="BD114" s="245"/>
      <c r="BE114" s="245"/>
      <c r="BF114" s="245"/>
      <c r="BG114" s="245"/>
      <c r="BH114" s="245"/>
      <c r="BI114" s="245"/>
      <c r="BJ114" s="245"/>
      <c r="BK114" s="245"/>
      <c r="BL114" s="245"/>
      <c r="BM114" s="245"/>
      <c r="BN114" s="245"/>
      <c r="BO114" s="245"/>
      <c r="BP114" s="245"/>
      <c r="BQ114" s="245"/>
      <c r="BR114" s="245"/>
      <c r="BS114" s="245"/>
      <c r="BT114" s="245"/>
      <c r="BU114" s="245"/>
      <c r="BV114" s="245"/>
      <c r="BW114" s="245"/>
      <c r="BX114" s="245"/>
      <c r="BY114" s="245"/>
      <c r="BZ114" s="245"/>
      <c r="CA114" s="245"/>
      <c r="CB114" s="245"/>
      <c r="CC114" s="245"/>
      <c r="CD114" s="245"/>
      <c r="CE114" s="245"/>
      <c r="CF114" s="245"/>
      <c r="CG114" s="245"/>
      <c r="CH114" s="245"/>
      <c r="CI114" s="245"/>
      <c r="CJ114" s="245"/>
      <c r="CK114" s="245"/>
      <c r="CL114" s="245"/>
      <c r="CM114" s="245"/>
      <c r="CN114" s="245"/>
      <c r="CO114" s="245"/>
      <c r="CP114" s="245"/>
      <c r="CQ114" s="245"/>
      <c r="CR114" s="245"/>
      <c r="CS114" s="245"/>
      <c r="CT114" s="245"/>
      <c r="CU114" s="245"/>
      <c r="CV114" s="245"/>
      <c r="CW114" s="245"/>
      <c r="CX114" s="245"/>
      <c r="CY114" s="245"/>
      <c r="CZ114" s="245"/>
      <c r="DA114" s="245"/>
      <c r="DB114" s="245"/>
      <c r="DC114" s="245"/>
      <c r="DD114" s="245"/>
      <c r="DE114" s="245"/>
      <c r="DF114" s="245"/>
      <c r="DG114" s="245"/>
      <c r="DH114" s="245"/>
      <c r="DI114" s="245"/>
      <c r="DJ114" s="246"/>
      <c r="DL114" s="245"/>
      <c r="DM114" s="245"/>
      <c r="DN114" s="245"/>
      <c r="DO114" s="245"/>
      <c r="DP114" s="245"/>
      <c r="DQ114" s="245"/>
      <c r="DR114" s="245"/>
      <c r="DS114" s="245"/>
      <c r="DT114" s="245"/>
      <c r="DU114" s="245"/>
      <c r="DV114" s="245"/>
      <c r="DW114" s="245"/>
      <c r="DX114" s="245"/>
      <c r="DY114" s="245"/>
      <c r="DZ114" s="245"/>
      <c r="EA114" s="245"/>
      <c r="EB114" s="245"/>
      <c r="EC114" s="245"/>
      <c r="ED114" s="245"/>
      <c r="EE114" s="245"/>
      <c r="EF114" s="245"/>
      <c r="EG114" s="245"/>
      <c r="EH114" s="245"/>
      <c r="EK114" s="245"/>
    </row>
    <row r="115" spans="1:141" x14ac:dyDescent="0.35">
      <c r="A115" s="245"/>
      <c r="B115" s="247">
        <v>1</v>
      </c>
      <c r="C115" s="247">
        <f>+B115+1</f>
        <v>2</v>
      </c>
      <c r="D115" s="247">
        <f t="shared" ref="D115:M115" si="34">+C115+1</f>
        <v>3</v>
      </c>
      <c r="E115" s="247">
        <f t="shared" si="34"/>
        <v>4</v>
      </c>
      <c r="F115" s="247">
        <f t="shared" si="34"/>
        <v>5</v>
      </c>
      <c r="G115" s="247">
        <f t="shared" si="34"/>
        <v>6</v>
      </c>
      <c r="H115" s="247">
        <f t="shared" si="34"/>
        <v>7</v>
      </c>
      <c r="I115" s="247">
        <f t="shared" si="34"/>
        <v>8</v>
      </c>
      <c r="J115" s="247">
        <f t="shared" si="34"/>
        <v>9</v>
      </c>
      <c r="K115" s="247">
        <f t="shared" si="34"/>
        <v>10</v>
      </c>
      <c r="L115" s="247">
        <f t="shared" si="34"/>
        <v>11</v>
      </c>
      <c r="M115" s="247">
        <f t="shared" si="34"/>
        <v>12</v>
      </c>
      <c r="N115" s="245"/>
      <c r="O115" s="245">
        <f>+B114-B102</f>
        <v>365</v>
      </c>
      <c r="P115" s="245"/>
      <c r="Q115" s="245"/>
      <c r="R115" s="245"/>
      <c r="S115" s="245"/>
      <c r="T115" s="245"/>
      <c r="U115" s="245"/>
      <c r="V115" s="245"/>
      <c r="W115" s="245"/>
      <c r="X115" s="245"/>
      <c r="Y115" s="245"/>
      <c r="Z115" s="245"/>
      <c r="AA115" s="245"/>
      <c r="AB115" s="245"/>
      <c r="AC115" s="245"/>
      <c r="AD115" s="245"/>
      <c r="AE115" s="245"/>
      <c r="AF115" s="245"/>
      <c r="AG115" s="245"/>
      <c r="AH115" s="245"/>
      <c r="AI115" s="245"/>
      <c r="AJ115" s="245"/>
      <c r="AK115" s="245"/>
      <c r="AL115" s="245"/>
      <c r="AM115" s="245"/>
      <c r="AN115" s="245"/>
      <c r="AO115" s="245"/>
      <c r="AP115" s="245"/>
      <c r="AQ115" s="245"/>
      <c r="AR115" s="245"/>
      <c r="AS115" s="245"/>
      <c r="AT115" s="245"/>
      <c r="AU115" s="245"/>
      <c r="AV115" s="245"/>
      <c r="AW115" s="245"/>
      <c r="AX115" s="245"/>
      <c r="AY115" s="245"/>
      <c r="AZ115" s="245"/>
      <c r="BA115" s="245"/>
      <c r="BB115" s="245"/>
      <c r="BC115" s="245"/>
      <c r="BD115" s="245"/>
      <c r="BE115" s="245"/>
      <c r="BF115" s="245"/>
      <c r="BG115" s="245"/>
      <c r="BH115" s="245"/>
      <c r="BI115" s="245"/>
      <c r="BJ115" s="245"/>
      <c r="BK115" s="245"/>
      <c r="BL115" s="245"/>
      <c r="BM115" s="245"/>
      <c r="BN115" s="245"/>
      <c r="BO115" s="245"/>
      <c r="BP115" s="245"/>
      <c r="BQ115" s="245"/>
      <c r="BR115" s="245"/>
      <c r="BS115" s="245"/>
      <c r="BT115" s="245"/>
      <c r="BU115" s="245"/>
      <c r="BV115" s="245"/>
      <c r="BW115" s="245"/>
      <c r="BX115" s="245"/>
      <c r="BY115" s="245"/>
      <c r="BZ115" s="245"/>
      <c r="CA115" s="245"/>
      <c r="CB115" s="245"/>
      <c r="CC115" s="245"/>
      <c r="CD115" s="245"/>
      <c r="CE115" s="245"/>
      <c r="CF115" s="245"/>
      <c r="CG115" s="245"/>
      <c r="CH115" s="245"/>
      <c r="CI115" s="245"/>
      <c r="CJ115" s="245"/>
      <c r="CK115" s="245"/>
      <c r="CL115" s="245"/>
      <c r="CM115" s="245"/>
      <c r="CN115" s="245"/>
      <c r="CO115" s="245"/>
      <c r="CP115" s="245"/>
      <c r="CQ115" s="245"/>
      <c r="CR115" s="245"/>
      <c r="CS115" s="245"/>
      <c r="CT115" s="245"/>
      <c r="CU115" s="245"/>
      <c r="CV115" s="245"/>
      <c r="CW115" s="245"/>
      <c r="CX115" s="245"/>
      <c r="CY115" s="245"/>
      <c r="CZ115" s="245"/>
      <c r="DA115" s="245"/>
      <c r="DB115" s="245"/>
      <c r="DC115" s="245"/>
      <c r="DD115" s="245"/>
      <c r="DE115" s="245"/>
      <c r="DF115" s="245"/>
      <c r="DG115" s="245"/>
      <c r="DH115" s="245"/>
      <c r="DI115" s="245"/>
      <c r="DJ115" s="246"/>
      <c r="DL115" s="245"/>
      <c r="DM115" s="245"/>
      <c r="DN115" s="245"/>
      <c r="DO115" s="245"/>
      <c r="DP115" s="245"/>
      <c r="DQ115" s="245"/>
      <c r="DR115" s="245"/>
      <c r="DS115" s="245"/>
      <c r="DT115" s="245"/>
      <c r="DU115" s="245"/>
      <c r="DV115" s="245"/>
      <c r="DW115" s="245"/>
      <c r="DX115" s="245"/>
      <c r="DY115" s="245"/>
      <c r="DZ115" s="245"/>
      <c r="EA115" s="245"/>
      <c r="EB115" s="245"/>
      <c r="EC115" s="245"/>
      <c r="ED115" s="245"/>
      <c r="EE115" s="245"/>
      <c r="EF115" s="245"/>
      <c r="EG115" s="245"/>
      <c r="EH115" s="245"/>
      <c r="EK115" s="245"/>
    </row>
    <row r="116" spans="1:141" x14ac:dyDescent="0.35">
      <c r="A116" s="245"/>
      <c r="H116" s="245"/>
      <c r="I116" s="245"/>
      <c r="J116" s="245"/>
      <c r="K116" s="245"/>
      <c r="L116" s="245"/>
      <c r="M116" s="245"/>
      <c r="N116" s="245"/>
      <c r="O116" s="245"/>
      <c r="P116" s="245"/>
      <c r="Q116" s="245"/>
      <c r="R116" s="245"/>
      <c r="S116" s="245"/>
      <c r="T116" s="245"/>
      <c r="U116" s="245"/>
      <c r="V116" s="245"/>
      <c r="W116" s="245"/>
      <c r="X116" s="245"/>
      <c r="Y116" s="245"/>
      <c r="Z116" s="245"/>
      <c r="AA116" s="245"/>
      <c r="AB116" s="245"/>
      <c r="AC116" s="245"/>
      <c r="AD116" s="245"/>
      <c r="AE116" s="245"/>
      <c r="AF116" s="245"/>
      <c r="AG116" s="245"/>
      <c r="AH116" s="245"/>
      <c r="AI116" s="245"/>
      <c r="AJ116" s="245"/>
      <c r="AK116" s="245"/>
      <c r="AL116" s="245"/>
      <c r="AM116" s="245"/>
      <c r="AN116" s="245"/>
      <c r="AO116" s="245"/>
      <c r="AP116" s="245"/>
      <c r="AQ116" s="245"/>
      <c r="AR116" s="245"/>
      <c r="AS116" s="245"/>
      <c r="AT116" s="245"/>
      <c r="AU116" s="245"/>
      <c r="AV116" s="245"/>
      <c r="AW116" s="245"/>
      <c r="AX116" s="245"/>
      <c r="AY116" s="245"/>
      <c r="AZ116" s="245"/>
      <c r="BA116" s="245"/>
      <c r="BB116" s="245"/>
      <c r="BC116" s="245"/>
      <c r="BD116" s="245"/>
      <c r="BE116" s="245"/>
      <c r="BF116" s="245"/>
      <c r="BG116" s="245"/>
      <c r="BH116" s="245"/>
      <c r="BI116" s="245"/>
      <c r="BJ116" s="245"/>
      <c r="BK116" s="245"/>
      <c r="BL116" s="245"/>
      <c r="BM116" s="245"/>
      <c r="BN116" s="245"/>
      <c r="BO116" s="245"/>
      <c r="BP116" s="245"/>
      <c r="BQ116" s="245"/>
      <c r="BR116" s="245"/>
      <c r="BS116" s="245"/>
      <c r="BT116" s="245"/>
      <c r="BU116" s="245"/>
      <c r="BV116" s="245"/>
      <c r="BW116" s="245"/>
      <c r="BX116" s="245"/>
      <c r="BY116" s="245"/>
      <c r="BZ116" s="245"/>
      <c r="CA116" s="245"/>
      <c r="CB116" s="245"/>
      <c r="CC116" s="245"/>
      <c r="CD116" s="245"/>
      <c r="CE116" s="245"/>
      <c r="CF116" s="245"/>
      <c r="CG116" s="245"/>
      <c r="CH116" s="245"/>
      <c r="CI116" s="245"/>
      <c r="CJ116" s="245"/>
      <c r="CK116" s="245"/>
      <c r="CL116" s="245"/>
      <c r="CM116" s="245"/>
      <c r="CN116" s="245"/>
      <c r="CO116" s="245"/>
      <c r="CP116" s="245"/>
      <c r="CQ116" s="245"/>
      <c r="CR116" s="245"/>
      <c r="CS116" s="245"/>
      <c r="CT116" s="245"/>
      <c r="CU116" s="245"/>
      <c r="CV116" s="245"/>
      <c r="CW116" s="245"/>
      <c r="CX116" s="245"/>
      <c r="CY116" s="245"/>
      <c r="CZ116" s="245"/>
      <c r="DA116" s="245"/>
      <c r="DB116" s="245"/>
      <c r="DC116" s="245"/>
      <c r="DD116" s="245"/>
      <c r="DE116" s="245"/>
      <c r="DF116" s="245"/>
      <c r="DG116" s="245"/>
      <c r="DH116" s="245"/>
      <c r="DI116" s="245"/>
      <c r="DJ116" s="246"/>
      <c r="DK116" s="245"/>
      <c r="DL116" s="245"/>
      <c r="DM116" s="245"/>
      <c r="DN116" s="245"/>
      <c r="DO116" s="245"/>
      <c r="DP116" s="245"/>
      <c r="DQ116" s="245"/>
      <c r="DR116" s="245"/>
      <c r="DS116" s="245"/>
      <c r="DT116" s="245"/>
      <c r="DU116" s="245"/>
      <c r="DV116" s="245"/>
      <c r="DW116" s="245"/>
      <c r="DX116" s="245"/>
      <c r="DY116" s="245"/>
      <c r="EA116" s="245"/>
      <c r="EB116" s="245"/>
      <c r="EC116" s="245"/>
      <c r="ED116" s="245"/>
      <c r="EE116" s="245"/>
      <c r="EF116" s="245"/>
      <c r="EG116" s="245"/>
      <c r="EJ116" s="245"/>
    </row>
    <row r="117" spans="1:141" x14ac:dyDescent="0.35">
      <c r="A117" s="211" t="s">
        <v>249</v>
      </c>
      <c r="B117" s="263">
        <f>+B102</f>
        <v>45777</v>
      </c>
      <c r="C117" s="258" t="str">
        <f>TEXT(B117,"dd-mmm-aa")</f>
        <v>30-abr-25</v>
      </c>
      <c r="D117" s="258"/>
      <c r="E117" s="258"/>
      <c r="F117" s="258"/>
      <c r="G117" s="245"/>
      <c r="H117" s="245"/>
      <c r="I117" s="245"/>
      <c r="J117" s="245"/>
      <c r="K117" s="245"/>
      <c r="L117" s="245"/>
      <c r="M117" s="245"/>
      <c r="N117" s="245"/>
      <c r="O117" s="245"/>
      <c r="P117" s="245"/>
      <c r="Q117" s="245"/>
      <c r="R117" s="245"/>
      <c r="S117" s="245"/>
      <c r="T117" s="245"/>
      <c r="U117" s="245"/>
      <c r="V117" s="245"/>
      <c r="W117" s="245"/>
      <c r="X117" s="245"/>
      <c r="Y117" s="245"/>
      <c r="Z117" s="245"/>
      <c r="AA117" s="245"/>
      <c r="AB117" s="245"/>
      <c r="AC117" s="245"/>
      <c r="AD117" s="245"/>
      <c r="AE117" s="245"/>
      <c r="AF117" s="245"/>
      <c r="AG117" s="245"/>
      <c r="AH117" s="245"/>
      <c r="AI117" s="245"/>
      <c r="AJ117" s="245"/>
      <c r="AK117" s="245"/>
      <c r="AL117" s="245"/>
      <c r="AM117" s="245"/>
      <c r="AN117" s="245"/>
      <c r="AO117" s="245"/>
      <c r="AP117" s="245"/>
      <c r="AQ117" s="245"/>
      <c r="AR117" s="245"/>
      <c r="AS117" s="245"/>
      <c r="AT117" s="245"/>
      <c r="AU117" s="245"/>
      <c r="AV117" s="245"/>
      <c r="AW117" s="245"/>
      <c r="AX117" s="245"/>
      <c r="AY117" s="245"/>
      <c r="AZ117" s="245"/>
      <c r="BA117" s="245"/>
      <c r="BB117" s="245"/>
      <c r="BC117" s="245"/>
      <c r="BD117" s="245"/>
      <c r="BE117" s="245"/>
      <c r="BF117" s="245"/>
      <c r="BG117" s="245"/>
      <c r="BH117" s="245"/>
      <c r="BI117" s="245"/>
      <c r="BJ117" s="245"/>
      <c r="BK117" s="245"/>
      <c r="BL117" s="245"/>
      <c r="BM117" s="245"/>
      <c r="BN117" s="245"/>
      <c r="BO117" s="245"/>
      <c r="BP117" s="245"/>
      <c r="BQ117" s="245"/>
      <c r="BR117" s="245"/>
      <c r="BS117" s="245"/>
      <c r="BT117" s="245"/>
      <c r="BU117" s="245"/>
      <c r="BV117" s="245"/>
      <c r="BW117" s="245"/>
      <c r="BX117" s="245"/>
      <c r="BY117" s="245"/>
      <c r="BZ117" s="245"/>
      <c r="CA117" s="245"/>
      <c r="CB117" s="245"/>
      <c r="CC117" s="245"/>
      <c r="CD117" s="245"/>
      <c r="CE117" s="245"/>
      <c r="CF117" s="245"/>
      <c r="CG117" s="245"/>
      <c r="CH117" s="245"/>
      <c r="CI117" s="245"/>
      <c r="CJ117" s="245"/>
      <c r="CK117" s="245"/>
      <c r="CL117" s="245"/>
      <c r="CM117" s="245"/>
      <c r="CN117" s="245"/>
      <c r="CO117" s="245"/>
      <c r="CP117" s="245"/>
      <c r="CQ117" s="245"/>
      <c r="CR117" s="245"/>
      <c r="CS117" s="245"/>
      <c r="CT117" s="245"/>
      <c r="CU117" s="245"/>
      <c r="CV117" s="245"/>
      <c r="CW117" s="245"/>
      <c r="CX117" s="245"/>
      <c r="CY117" s="245"/>
      <c r="CZ117" s="245"/>
      <c r="DA117" s="245"/>
      <c r="DB117" s="245"/>
      <c r="DC117" s="245"/>
      <c r="DD117" s="245"/>
      <c r="DE117" s="245"/>
      <c r="DF117" s="245"/>
      <c r="DG117" s="245"/>
      <c r="DH117" s="245"/>
      <c r="DI117" s="245"/>
      <c r="DJ117" s="246"/>
      <c r="DK117" s="245"/>
      <c r="DL117" s="245"/>
      <c r="DM117" s="245"/>
      <c r="DN117" s="245"/>
      <c r="DO117" s="245"/>
      <c r="DP117" s="245"/>
      <c r="DQ117" s="245"/>
      <c r="DR117" s="245"/>
      <c r="DS117" s="245"/>
      <c r="DT117" s="245"/>
      <c r="DU117" s="245"/>
      <c r="DV117" s="245"/>
      <c r="DW117" s="245"/>
      <c r="DX117" s="245"/>
      <c r="DY117" s="245"/>
      <c r="EA117" s="245"/>
      <c r="EB117" s="245"/>
      <c r="EC117" s="245"/>
      <c r="ED117" s="245"/>
      <c r="EE117" s="245"/>
      <c r="EF117" s="245"/>
      <c r="EG117" s="245"/>
      <c r="EJ117" s="245"/>
    </row>
    <row r="118" spans="1:141" x14ac:dyDescent="0.35">
      <c r="A118" s="211" t="s">
        <v>250</v>
      </c>
      <c r="B118" s="264">
        <f>+B114</f>
        <v>46142</v>
      </c>
      <c r="C118" s="258" t="str">
        <f>TEXT(B118,"dd-mmm-aa")</f>
        <v>30-abr-26</v>
      </c>
      <c r="D118" s="211" t="str">
        <f>+$B$98&amp;" Rendimiento "&amp;C98&amp;" del "&amp;C117&amp;" al "&amp;C118</f>
        <v>MVFANG+ BF-1 Rendimiento Efectivo del 30-abr-25 al 30-abr-26</v>
      </c>
    </row>
    <row r="119" spans="1:141" x14ac:dyDescent="0.35">
      <c r="A119" s="245"/>
      <c r="B119" s="245"/>
      <c r="D119" s="211" t="str">
        <f>+$B$98&amp;" Rendimiento "&amp;C98&amp;" de los años más recientes"</f>
        <v>MVFANG+ BF-1 Rendimiento Efectivo de los años más recientes</v>
      </c>
    </row>
    <row r="120" spans="1:141" x14ac:dyDescent="0.35">
      <c r="A120" s="249" t="s">
        <v>242</v>
      </c>
      <c r="B120" s="245"/>
      <c r="DQ120" s="265" t="e">
        <f>IF(#REF!=0,"El fondo no cuenta con historial de precios suficiente para hacer este análisis"," ")</f>
        <v>#REF!</v>
      </c>
    </row>
    <row r="121" spans="1:141" ht="29" x14ac:dyDescent="0.35">
      <c r="A121" s="252" t="s">
        <v>35</v>
      </c>
      <c r="B121" s="252" t="s">
        <v>64</v>
      </c>
      <c r="C121" s="252" t="s">
        <v>45</v>
      </c>
      <c r="D121" s="252" t="s">
        <v>34</v>
      </c>
      <c r="E121" s="252" t="s">
        <v>243</v>
      </c>
      <c r="F121" s="252" t="s">
        <v>244</v>
      </c>
      <c r="G121" s="252" t="s">
        <v>204</v>
      </c>
      <c r="H121" s="252" t="s">
        <v>205</v>
      </c>
      <c r="I121" s="252" t="s">
        <v>239</v>
      </c>
      <c r="J121" s="255" t="str">
        <f>+$C$98</f>
        <v>Efectivo</v>
      </c>
      <c r="Y121" s="220"/>
    </row>
    <row r="122" spans="1:141" x14ac:dyDescent="0.35">
      <c r="A122" s="220">
        <v>2023</v>
      </c>
      <c r="B122" s="239">
        <v>44925</v>
      </c>
      <c r="C122" s="239">
        <v>45289</v>
      </c>
      <c r="D122" s="266">
        <f t="shared" ref="D122:D124" si="35">+C122-B122</f>
        <v>364</v>
      </c>
      <c r="E122" s="234">
        <f t="shared" ref="E122:F125" si="36">VLOOKUP(B122,$A$5:$DZ$96,$D$98,0)</f>
        <v>0.71071099999999998</v>
      </c>
      <c r="F122" s="234">
        <f t="shared" si="36"/>
        <v>0.94430199999999997</v>
      </c>
      <c r="G122" s="258">
        <f t="shared" ref="G122:G124" si="37">IF(E122&gt;0,F122/E122-1," ")</f>
        <v>0.32867227325875081</v>
      </c>
      <c r="H122" s="258">
        <f t="shared" ref="H122:H124" si="38">IF(E122&gt;0,G122*(360/D122))</f>
        <v>0.32506049003612719</v>
      </c>
      <c r="I122" s="258">
        <f t="shared" ref="I122:I124" si="39">IF(E122&gt;0,((F122/E122)^(360/D122))-1," ")</f>
        <v>0.32452948935970927</v>
      </c>
      <c r="J122" s="260">
        <f t="shared" ref="J122:J124" si="40">IF($F$101=$I$101,G122,IF($G$101=$I$101,H122,I122))</f>
        <v>0.32867227325875081</v>
      </c>
      <c r="Y122" s="267"/>
      <c r="DQ122" s="268"/>
    </row>
    <row r="123" spans="1:141" x14ac:dyDescent="0.35">
      <c r="A123" s="220">
        <v>2024</v>
      </c>
      <c r="B123" s="239">
        <f>VLOOKUP($B$98,'MTX CARAC'!$A$4:$Q$122,15,0)</f>
        <v>45289</v>
      </c>
      <c r="C123" s="239">
        <v>45657</v>
      </c>
      <c r="D123" s="266">
        <f t="shared" si="35"/>
        <v>368</v>
      </c>
      <c r="E123" s="234">
        <f t="shared" si="36"/>
        <v>0.94430199999999997</v>
      </c>
      <c r="F123" s="234">
        <f t="shared" si="36"/>
        <v>1.4298770000000001</v>
      </c>
      <c r="G123" s="258">
        <f t="shared" si="37"/>
        <v>0.51421579113461591</v>
      </c>
      <c r="H123" s="258">
        <f t="shared" si="38"/>
        <v>0.5030371869795156</v>
      </c>
      <c r="I123" s="258">
        <f t="shared" si="39"/>
        <v>0.5006197067891589</v>
      </c>
      <c r="J123" s="260">
        <f t="shared" si="40"/>
        <v>0.51421579113461591</v>
      </c>
      <c r="Y123" s="267"/>
      <c r="DQ123" s="268"/>
    </row>
    <row r="124" spans="1:141" x14ac:dyDescent="0.35">
      <c r="A124" s="220">
        <v>2025</v>
      </c>
      <c r="B124" s="239">
        <f>VLOOKUP($B$98,'MTX CARAC'!$A$4:$Q$122,16,0)</f>
        <v>45657</v>
      </c>
      <c r="C124" s="239">
        <v>46022</v>
      </c>
      <c r="D124" s="266">
        <f t="shared" si="35"/>
        <v>365</v>
      </c>
      <c r="E124" s="234">
        <f t="shared" si="36"/>
        <v>1.4298770000000001</v>
      </c>
      <c r="F124" s="234">
        <f t="shared" si="36"/>
        <v>1.465935</v>
      </c>
      <c r="G124" s="258">
        <f t="shared" si="37"/>
        <v>2.521755367769396E-2</v>
      </c>
      <c r="H124" s="258">
        <f t="shared" si="38"/>
        <v>2.4872107736903629E-2</v>
      </c>
      <c r="I124" s="258">
        <f t="shared" si="39"/>
        <v>2.4867847900884588E-2</v>
      </c>
      <c r="J124" s="260">
        <f t="shared" si="40"/>
        <v>2.521755367769396E-2</v>
      </c>
      <c r="Y124" s="267"/>
      <c r="DQ124" s="268"/>
    </row>
    <row r="125" spans="1:141" x14ac:dyDescent="0.35">
      <c r="A125" s="220">
        <v>2026</v>
      </c>
      <c r="B125" s="239">
        <f>VLOOKUP($B$98,'MTX CARAC'!$A$4:$Q$122,17,0)</f>
        <v>46022</v>
      </c>
      <c r="C125" s="269">
        <v>46142</v>
      </c>
      <c r="D125" s="266">
        <f t="shared" ref="D125" si="41">+C125-B125</f>
        <v>120</v>
      </c>
      <c r="E125" s="234">
        <f t="shared" si="36"/>
        <v>1.465935</v>
      </c>
      <c r="F125" s="234">
        <f t="shared" si="36"/>
        <v>1.5378210000000001</v>
      </c>
      <c r="G125" s="258">
        <f t="shared" ref="G125" si="42">IF(E125&gt;0,F125/E125-1," ")</f>
        <v>4.9037644916043455E-2</v>
      </c>
      <c r="H125" s="258">
        <f t="shared" ref="H125" si="43">IF(E125&gt;0,G125*(360/D125))</f>
        <v>0.14711293474813036</v>
      </c>
      <c r="I125" s="258">
        <f t="shared" ref="I125" si="44">IF(E125&gt;0,((F125/E125)^(360/D125))-1," ")</f>
        <v>0.15444492696956935</v>
      </c>
      <c r="J125" s="260">
        <f t="shared" ref="J125" si="45">IF($F$101=$I$101,G125,IF($G$101=$I$101,H125,I125))</f>
        <v>4.9037644916043455E-2</v>
      </c>
      <c r="Y125" s="267"/>
      <c r="DQ125" s="268"/>
    </row>
    <row r="126" spans="1:141" x14ac:dyDescent="0.35">
      <c r="Y126" s="267"/>
      <c r="DQ126" s="268"/>
    </row>
    <row r="127" spans="1:141" x14ac:dyDescent="0.35">
      <c r="B127" s="239"/>
      <c r="Y127" s="267"/>
      <c r="DO127" s="268"/>
      <c r="DP127" s="268"/>
      <c r="DQ127" s="268"/>
    </row>
    <row r="128" spans="1:141" x14ac:dyDescent="0.35">
      <c r="A128" s="270">
        <v>1</v>
      </c>
      <c r="B128" s="270">
        <f>+A128+1</f>
        <v>2</v>
      </c>
      <c r="C128" s="270">
        <f t="shared" ref="C128" si="46">+B128+1</f>
        <v>3</v>
      </c>
      <c r="D128" s="270">
        <f t="shared" ref="D128" si="47">+C128+1</f>
        <v>4</v>
      </c>
    </row>
    <row r="129" spans="1:125" x14ac:dyDescent="0.35">
      <c r="A129" s="245"/>
      <c r="B129" s="245"/>
      <c r="C129" s="245"/>
      <c r="D129" s="245"/>
    </row>
    <row r="130" spans="1:125" x14ac:dyDescent="0.35">
      <c r="A130" s="249" t="s">
        <v>251</v>
      </c>
      <c r="B130" s="250"/>
      <c r="C130" s="245"/>
      <c r="D130" s="245"/>
      <c r="E130" s="245"/>
      <c r="F130" s="245" t="s">
        <v>246</v>
      </c>
      <c r="G130" s="245"/>
      <c r="H130" s="245"/>
      <c r="I130" s="245"/>
    </row>
    <row r="131" spans="1:125" ht="29" x14ac:dyDescent="0.35">
      <c r="A131" s="251" t="s">
        <v>245</v>
      </c>
      <c r="B131" s="251" t="s">
        <v>173</v>
      </c>
      <c r="C131" s="251" t="s">
        <v>252</v>
      </c>
      <c r="D131" s="251" t="s">
        <v>187</v>
      </c>
      <c r="E131" s="252" t="s">
        <v>248</v>
      </c>
      <c r="F131" s="253" t="s">
        <v>202</v>
      </c>
      <c r="G131" s="253" t="s">
        <v>204</v>
      </c>
      <c r="H131" s="253" t="s">
        <v>205</v>
      </c>
      <c r="I131" s="254" t="s">
        <v>239</v>
      </c>
      <c r="J131" s="255" t="str">
        <f>+$C$98</f>
        <v>Efectivo</v>
      </c>
      <c r="DJ131" s="211"/>
      <c r="DK131" s="242"/>
      <c r="DT131" s="211"/>
      <c r="DU131" s="243"/>
    </row>
    <row r="132" spans="1:125" x14ac:dyDescent="0.35">
      <c r="A132" s="211">
        <v>0</v>
      </c>
      <c r="B132" s="256">
        <v>44680</v>
      </c>
      <c r="C132" s="271">
        <v>44680</v>
      </c>
      <c r="F132" s="257">
        <f t="shared" ref="F132:F163" si="48">VLOOKUP($B132,$A$5:$DZ$94,D$98,0)</f>
        <v>0.85810699999999995</v>
      </c>
      <c r="G132" s="258"/>
      <c r="I132" s="258"/>
      <c r="J132" s="259"/>
      <c r="DJ132" s="211"/>
      <c r="DK132" s="242"/>
      <c r="DT132" s="211"/>
      <c r="DU132" s="243"/>
    </row>
    <row r="133" spans="1:125" x14ac:dyDescent="0.35">
      <c r="A133" s="211">
        <f>+A132+1</f>
        <v>1</v>
      </c>
      <c r="B133" s="256">
        <v>44712</v>
      </c>
      <c r="C133" s="271">
        <v>44712</v>
      </c>
      <c r="D133" s="220">
        <f t="shared" ref="D133:D170" si="49">+B133-B132</f>
        <v>32</v>
      </c>
      <c r="E133" s="220">
        <f>+D133</f>
        <v>32</v>
      </c>
      <c r="F133" s="257">
        <f t="shared" si="48"/>
        <v>0.82123900000000005</v>
      </c>
      <c r="G133" s="258">
        <f>+IF(F132&gt;0,F133/F132-1," ")</f>
        <v>-4.2964338946075431E-2</v>
      </c>
      <c r="H133" s="258">
        <f t="shared" ref="H133:H144" si="50">IF(F132&gt;0,(F133/F132-1)*(360/D133)," ")</f>
        <v>-0.4833488131433486</v>
      </c>
      <c r="I133" s="258">
        <f t="shared" ref="I133:I144" si="51">+IF(F132&gt;0,((F133/F132)^(360/D133)-1)," ")</f>
        <v>-0.38984333657227943</v>
      </c>
      <c r="J133" s="260">
        <f t="shared" ref="J133:J144" si="52">IF($F$101=$I$101,G133,IF($G$101=$I$101,H133,I133))</f>
        <v>-4.2964338946075431E-2</v>
      </c>
      <c r="DJ133" s="211"/>
      <c r="DK133" s="242"/>
      <c r="DT133" s="211"/>
      <c r="DU133" s="243"/>
    </row>
    <row r="134" spans="1:125" x14ac:dyDescent="0.35">
      <c r="A134" s="211">
        <f t="shared" ref="A134:A180" si="53">+A133+1</f>
        <v>2</v>
      </c>
      <c r="B134" s="256">
        <v>44742</v>
      </c>
      <c r="C134" s="271">
        <v>44742</v>
      </c>
      <c r="D134" s="220">
        <f t="shared" si="49"/>
        <v>30</v>
      </c>
      <c r="E134" s="220">
        <f>+E133+D134</f>
        <v>62</v>
      </c>
      <c r="F134" s="257">
        <f t="shared" si="48"/>
        <v>0.77014800000000005</v>
      </c>
      <c r="G134" s="258">
        <f t="shared" ref="G134:G144" si="54">+IF(F133&gt;0,F134/F133-1," ")</f>
        <v>-6.2212096600380629E-2</v>
      </c>
      <c r="H134" s="258">
        <f t="shared" si="50"/>
        <v>-0.74654515920456754</v>
      </c>
      <c r="I134" s="258">
        <f t="shared" si="51"/>
        <v>-0.5373468565527878</v>
      </c>
      <c r="J134" s="260">
        <f t="shared" si="52"/>
        <v>-6.2212096600380629E-2</v>
      </c>
      <c r="DJ134" s="211"/>
      <c r="DK134" s="242"/>
      <c r="DT134" s="211"/>
      <c r="DU134" s="243"/>
    </row>
    <row r="135" spans="1:125" x14ac:dyDescent="0.35">
      <c r="A135" s="211">
        <f t="shared" si="53"/>
        <v>3</v>
      </c>
      <c r="B135" s="256">
        <v>44771</v>
      </c>
      <c r="C135" s="271">
        <v>44771</v>
      </c>
      <c r="D135" s="220">
        <f t="shared" si="49"/>
        <v>29</v>
      </c>
      <c r="E135" s="220">
        <f t="shared" ref="E135:E144" si="55">+E134+D135</f>
        <v>91</v>
      </c>
      <c r="F135" s="257">
        <f t="shared" si="48"/>
        <v>0.86871200000000004</v>
      </c>
      <c r="G135" s="258">
        <f t="shared" si="54"/>
        <v>0.1279805959374043</v>
      </c>
      <c r="H135" s="258">
        <f t="shared" si="50"/>
        <v>1.5887246392229499</v>
      </c>
      <c r="I135" s="258">
        <f t="shared" si="51"/>
        <v>3.4592477157697692</v>
      </c>
      <c r="J135" s="260">
        <f t="shared" si="52"/>
        <v>0.1279805959374043</v>
      </c>
      <c r="DJ135" s="211"/>
      <c r="DK135" s="242"/>
      <c r="DT135" s="211"/>
      <c r="DU135" s="243"/>
    </row>
    <row r="136" spans="1:125" x14ac:dyDescent="0.35">
      <c r="A136" s="211">
        <f t="shared" si="53"/>
        <v>4</v>
      </c>
      <c r="B136" s="256">
        <v>44804</v>
      </c>
      <c r="C136" s="271">
        <v>44804</v>
      </c>
      <c r="D136" s="220">
        <f t="shared" si="49"/>
        <v>33</v>
      </c>
      <c r="E136" s="220">
        <f t="shared" si="55"/>
        <v>124</v>
      </c>
      <c r="F136" s="257">
        <f t="shared" si="48"/>
        <v>0.81660600000000005</v>
      </c>
      <c r="G136" s="258">
        <f t="shared" si="54"/>
        <v>-5.9980753114956431E-2</v>
      </c>
      <c r="H136" s="258">
        <f t="shared" si="50"/>
        <v>-0.65433548852679735</v>
      </c>
      <c r="I136" s="258">
        <f t="shared" si="51"/>
        <v>-0.49073208147087022</v>
      </c>
      <c r="J136" s="260">
        <f t="shared" si="52"/>
        <v>-5.9980753114956431E-2</v>
      </c>
      <c r="DJ136" s="211"/>
      <c r="DK136" s="242"/>
      <c r="DT136" s="211"/>
      <c r="DU136" s="243"/>
    </row>
    <row r="137" spans="1:125" x14ac:dyDescent="0.35">
      <c r="A137" s="211">
        <f t="shared" si="53"/>
        <v>5</v>
      </c>
      <c r="B137" s="256">
        <v>44834</v>
      </c>
      <c r="C137" s="271">
        <v>44834</v>
      </c>
      <c r="D137" s="220">
        <f t="shared" si="49"/>
        <v>30</v>
      </c>
      <c r="E137" s="220">
        <f t="shared" si="55"/>
        <v>154</v>
      </c>
      <c r="F137" s="257">
        <f t="shared" si="48"/>
        <v>0.72877899999999995</v>
      </c>
      <c r="G137" s="258">
        <f t="shared" si="54"/>
        <v>-0.10755125482790973</v>
      </c>
      <c r="H137" s="258">
        <f t="shared" si="50"/>
        <v>-1.2906150579349167</v>
      </c>
      <c r="I137" s="258">
        <f t="shared" si="51"/>
        <v>-0.74473022305986958</v>
      </c>
      <c r="J137" s="260">
        <f t="shared" si="52"/>
        <v>-0.10755125482790973</v>
      </c>
      <c r="DJ137" s="211"/>
      <c r="DK137" s="242"/>
      <c r="DT137" s="211"/>
      <c r="DU137" s="243"/>
    </row>
    <row r="138" spans="1:125" x14ac:dyDescent="0.35">
      <c r="A138" s="211">
        <f t="shared" si="53"/>
        <v>6</v>
      </c>
      <c r="B138" s="256">
        <v>44865</v>
      </c>
      <c r="C138" s="271">
        <v>44865</v>
      </c>
      <c r="D138" s="220">
        <f t="shared" si="49"/>
        <v>31</v>
      </c>
      <c r="E138" s="220">
        <f t="shared" si="55"/>
        <v>185</v>
      </c>
      <c r="F138" s="257">
        <f t="shared" si="48"/>
        <v>0.74099499999999996</v>
      </c>
      <c r="G138" s="258">
        <f t="shared" si="54"/>
        <v>1.6762283216174012E-2</v>
      </c>
      <c r="H138" s="258">
        <f t="shared" si="50"/>
        <v>0.19465877283298852</v>
      </c>
      <c r="I138" s="258">
        <f t="shared" si="51"/>
        <v>0.21293775689359506</v>
      </c>
      <c r="J138" s="260">
        <f t="shared" si="52"/>
        <v>1.6762283216174012E-2</v>
      </c>
      <c r="DJ138" s="211"/>
      <c r="DK138" s="242"/>
      <c r="DT138" s="211"/>
      <c r="DU138" s="243"/>
    </row>
    <row r="139" spans="1:125" x14ac:dyDescent="0.35">
      <c r="A139" s="211">
        <f t="shared" si="53"/>
        <v>7</v>
      </c>
      <c r="B139" s="256">
        <v>44895</v>
      </c>
      <c r="C139" s="271">
        <v>44895</v>
      </c>
      <c r="D139" s="220">
        <f t="shared" si="49"/>
        <v>30</v>
      </c>
      <c r="E139" s="220">
        <f t="shared" si="55"/>
        <v>215</v>
      </c>
      <c r="F139" s="257">
        <f t="shared" si="48"/>
        <v>0.76784600000000003</v>
      </c>
      <c r="G139" s="258">
        <f t="shared" si="54"/>
        <v>3.6236411851632067E-2</v>
      </c>
      <c r="H139" s="258">
        <f t="shared" si="50"/>
        <v>0.4348369422195848</v>
      </c>
      <c r="I139" s="258">
        <f t="shared" si="51"/>
        <v>0.53287303450017776</v>
      </c>
      <c r="J139" s="260">
        <f t="shared" si="52"/>
        <v>3.6236411851632067E-2</v>
      </c>
      <c r="DJ139" s="211"/>
      <c r="DK139" s="242"/>
      <c r="DT139" s="211"/>
      <c r="DU139" s="243"/>
    </row>
    <row r="140" spans="1:125" x14ac:dyDescent="0.35">
      <c r="A140" s="211">
        <f t="shared" si="53"/>
        <v>8</v>
      </c>
      <c r="B140" s="256">
        <v>44925</v>
      </c>
      <c r="C140" s="271">
        <v>44925</v>
      </c>
      <c r="D140" s="220">
        <f t="shared" si="49"/>
        <v>30</v>
      </c>
      <c r="E140" s="220">
        <f t="shared" si="55"/>
        <v>245</v>
      </c>
      <c r="F140" s="257">
        <f t="shared" si="48"/>
        <v>0.71071099999999998</v>
      </c>
      <c r="G140" s="258">
        <f t="shared" si="54"/>
        <v>-7.4409451895302015E-2</v>
      </c>
      <c r="H140" s="258">
        <f t="shared" si="50"/>
        <v>-0.89291342274362417</v>
      </c>
      <c r="I140" s="258">
        <f t="shared" si="51"/>
        <v>-0.60460886054157004</v>
      </c>
      <c r="J140" s="260">
        <f t="shared" si="52"/>
        <v>-7.4409451895302015E-2</v>
      </c>
      <c r="DJ140" s="211"/>
      <c r="DK140" s="242"/>
      <c r="DT140" s="211"/>
      <c r="DU140" s="243"/>
    </row>
    <row r="141" spans="1:125" x14ac:dyDescent="0.35">
      <c r="A141" s="211">
        <f t="shared" si="53"/>
        <v>9</v>
      </c>
      <c r="B141" s="256">
        <v>44957</v>
      </c>
      <c r="C141" s="271">
        <v>44957</v>
      </c>
      <c r="D141" s="220">
        <f t="shared" si="49"/>
        <v>32</v>
      </c>
      <c r="E141" s="220">
        <f t="shared" si="55"/>
        <v>277</v>
      </c>
      <c r="F141" s="257">
        <f t="shared" si="48"/>
        <v>0.76927199999999996</v>
      </c>
      <c r="G141" s="258">
        <f t="shared" si="54"/>
        <v>8.2397767869077487E-2</v>
      </c>
      <c r="H141" s="258">
        <f t="shared" si="50"/>
        <v>0.92697488852712173</v>
      </c>
      <c r="I141" s="258">
        <f t="shared" si="51"/>
        <v>1.4369829449877023</v>
      </c>
      <c r="J141" s="260">
        <f t="shared" si="52"/>
        <v>8.2397767869077487E-2</v>
      </c>
      <c r="DJ141" s="211"/>
      <c r="DK141" s="242"/>
      <c r="DT141" s="211"/>
      <c r="DU141" s="243"/>
    </row>
    <row r="142" spans="1:125" x14ac:dyDescent="0.35">
      <c r="A142" s="211">
        <f t="shared" si="53"/>
        <v>10</v>
      </c>
      <c r="B142" s="256">
        <v>44985</v>
      </c>
      <c r="C142" s="271">
        <v>44985</v>
      </c>
      <c r="D142" s="220">
        <f t="shared" si="49"/>
        <v>28</v>
      </c>
      <c r="E142" s="220">
        <f t="shared" si="55"/>
        <v>305</v>
      </c>
      <c r="F142" s="257">
        <f t="shared" si="48"/>
        <v>0.75076600000000004</v>
      </c>
      <c r="G142" s="258">
        <f t="shared" si="54"/>
        <v>-2.4056510571033307E-2</v>
      </c>
      <c r="H142" s="258">
        <f t="shared" si="50"/>
        <v>-0.30929799305614253</v>
      </c>
      <c r="I142" s="258">
        <f t="shared" si="51"/>
        <v>-0.26880790589590819</v>
      </c>
      <c r="J142" s="260">
        <f t="shared" si="52"/>
        <v>-2.4056510571033307E-2</v>
      </c>
      <c r="DJ142" s="211"/>
      <c r="DK142" s="242"/>
      <c r="DT142" s="211"/>
      <c r="DU142" s="243"/>
    </row>
    <row r="143" spans="1:125" x14ac:dyDescent="0.35">
      <c r="A143" s="211">
        <f t="shared" si="53"/>
        <v>11</v>
      </c>
      <c r="B143" s="256">
        <v>45016</v>
      </c>
      <c r="C143" s="271">
        <v>45016</v>
      </c>
      <c r="D143" s="220">
        <f t="shared" si="49"/>
        <v>31</v>
      </c>
      <c r="E143" s="220">
        <f t="shared" si="55"/>
        <v>336</v>
      </c>
      <c r="F143" s="257">
        <f t="shared" si="48"/>
        <v>0.80986899999999995</v>
      </c>
      <c r="G143" s="258">
        <f t="shared" si="54"/>
        <v>7.872359696629827E-2</v>
      </c>
      <c r="H143" s="258">
        <f t="shared" si="50"/>
        <v>0.91420951315701215</v>
      </c>
      <c r="I143" s="258">
        <f t="shared" si="51"/>
        <v>1.4109195779398651</v>
      </c>
      <c r="J143" s="260">
        <f t="shared" si="52"/>
        <v>7.872359696629827E-2</v>
      </c>
      <c r="DJ143" s="211"/>
      <c r="DK143" s="242"/>
      <c r="DT143" s="211"/>
      <c r="DU143" s="243"/>
    </row>
    <row r="144" spans="1:125" x14ac:dyDescent="0.35">
      <c r="A144" s="211">
        <f t="shared" si="53"/>
        <v>12</v>
      </c>
      <c r="B144" s="256">
        <v>45044</v>
      </c>
      <c r="C144" s="271">
        <v>45044</v>
      </c>
      <c r="D144" s="220">
        <f t="shared" si="49"/>
        <v>28</v>
      </c>
      <c r="E144" s="220">
        <f t="shared" si="55"/>
        <v>364</v>
      </c>
      <c r="F144" s="257">
        <f t="shared" si="48"/>
        <v>0.79898400000000003</v>
      </c>
      <c r="G144" s="258">
        <f t="shared" si="54"/>
        <v>-1.3440445306586501E-2</v>
      </c>
      <c r="H144" s="258">
        <f t="shared" si="50"/>
        <v>-0.17280572537039787</v>
      </c>
      <c r="I144" s="258">
        <f t="shared" si="51"/>
        <v>-0.15968422055903631</v>
      </c>
      <c r="J144" s="260">
        <f t="shared" si="52"/>
        <v>-1.3440445306586501E-2</v>
      </c>
      <c r="DJ144" s="211"/>
      <c r="DK144" s="242"/>
      <c r="DT144" s="211"/>
      <c r="DU144" s="243"/>
    </row>
    <row r="145" spans="1:125" x14ac:dyDescent="0.35">
      <c r="A145" s="211">
        <f t="shared" si="53"/>
        <v>13</v>
      </c>
      <c r="B145" s="256">
        <v>45077</v>
      </c>
      <c r="C145" s="271">
        <v>45077</v>
      </c>
      <c r="D145" s="220">
        <f t="shared" si="49"/>
        <v>33</v>
      </c>
      <c r="E145" s="220">
        <f t="shared" ref="E145:E170" si="56">+E144+D145</f>
        <v>397</v>
      </c>
      <c r="F145" s="257">
        <f t="shared" si="48"/>
        <v>0.852468</v>
      </c>
      <c r="G145" s="258">
        <f t="shared" ref="G145:G170" si="57">+IF(F144&gt;0,F145/F144-1," ")</f>
        <v>6.6940013817548216E-2</v>
      </c>
      <c r="H145" s="258">
        <f t="shared" ref="H145:H170" si="58">IF(F144&gt;0,(F145/F144-1)*(360/D145)," ")</f>
        <v>0.73025469619143502</v>
      </c>
      <c r="I145" s="258">
        <f t="shared" ref="I145:I170" si="59">+IF(F144&gt;0,((F145/F144)^(360/D145)-1)," ")</f>
        <v>1.027597981181807</v>
      </c>
      <c r="J145" s="260">
        <f t="shared" ref="J145:J170" si="60">IF($F$101=$I$101,G145,IF($G$101=$I$101,H145,I145))</f>
        <v>6.6940013817548216E-2</v>
      </c>
      <c r="DJ145" s="211"/>
      <c r="DK145" s="242"/>
      <c r="DT145" s="211"/>
      <c r="DU145" s="243"/>
    </row>
    <row r="146" spans="1:125" x14ac:dyDescent="0.35">
      <c r="A146" s="211">
        <f t="shared" si="53"/>
        <v>14</v>
      </c>
      <c r="B146" s="256">
        <v>45107</v>
      </c>
      <c r="C146" s="271">
        <v>45107</v>
      </c>
      <c r="D146" s="220">
        <f t="shared" si="49"/>
        <v>30</v>
      </c>
      <c r="E146" s="220">
        <f t="shared" si="56"/>
        <v>427</v>
      </c>
      <c r="F146" s="257">
        <f t="shared" si="48"/>
        <v>0.88260700000000003</v>
      </c>
      <c r="G146" s="258">
        <f t="shared" si="57"/>
        <v>3.5354992797383522E-2</v>
      </c>
      <c r="H146" s="258">
        <f t="shared" si="58"/>
        <v>0.42425991356860226</v>
      </c>
      <c r="I146" s="258">
        <f t="shared" si="59"/>
        <v>0.51729974796921008</v>
      </c>
      <c r="J146" s="260">
        <f t="shared" si="60"/>
        <v>3.5354992797383522E-2</v>
      </c>
      <c r="DJ146" s="211"/>
      <c r="DK146" s="242"/>
      <c r="DT146" s="211"/>
      <c r="DU146" s="243"/>
    </row>
    <row r="147" spans="1:125" x14ac:dyDescent="0.35">
      <c r="A147" s="211">
        <f t="shared" si="53"/>
        <v>15</v>
      </c>
      <c r="B147" s="256">
        <v>45138</v>
      </c>
      <c r="C147" s="271">
        <v>45138</v>
      </c>
      <c r="D147" s="220">
        <f t="shared" si="49"/>
        <v>31</v>
      </c>
      <c r="E147" s="220">
        <f t="shared" si="56"/>
        <v>458</v>
      </c>
      <c r="F147" s="257">
        <f t="shared" si="48"/>
        <v>0.89708200000000005</v>
      </c>
      <c r="G147" s="258">
        <f t="shared" si="57"/>
        <v>1.6400277813341635E-2</v>
      </c>
      <c r="H147" s="258">
        <f t="shared" si="58"/>
        <v>0.19045483912267705</v>
      </c>
      <c r="I147" s="258">
        <f t="shared" si="59"/>
        <v>0.20793217469726266</v>
      </c>
      <c r="J147" s="260">
        <f t="shared" si="60"/>
        <v>1.6400277813341635E-2</v>
      </c>
      <c r="DJ147" s="211"/>
      <c r="DK147" s="242"/>
      <c r="DT147" s="211"/>
      <c r="DU147" s="243"/>
    </row>
    <row r="148" spans="1:125" x14ac:dyDescent="0.35">
      <c r="A148" s="211">
        <f t="shared" si="53"/>
        <v>16</v>
      </c>
      <c r="B148" s="256">
        <v>45169</v>
      </c>
      <c r="C148" s="271">
        <v>45169</v>
      </c>
      <c r="D148" s="220">
        <f t="shared" si="49"/>
        <v>31</v>
      </c>
      <c r="E148" s="220">
        <f t="shared" si="56"/>
        <v>489</v>
      </c>
      <c r="F148" s="257">
        <f t="shared" si="48"/>
        <v>0.89418600000000004</v>
      </c>
      <c r="G148" s="258">
        <f t="shared" si="57"/>
        <v>-3.2282444637168339E-3</v>
      </c>
      <c r="H148" s="258">
        <f t="shared" si="58"/>
        <v>-3.748929054638904E-2</v>
      </c>
      <c r="I148" s="258">
        <f t="shared" si="59"/>
        <v>-3.6853676643011979E-2</v>
      </c>
      <c r="J148" s="260">
        <f t="shared" si="60"/>
        <v>-3.2282444637168339E-3</v>
      </c>
      <c r="DJ148" s="211"/>
      <c r="DK148" s="242"/>
      <c r="DT148" s="211"/>
      <c r="DU148" s="243"/>
    </row>
    <row r="149" spans="1:125" x14ac:dyDescent="0.35">
      <c r="A149" s="211">
        <f t="shared" si="53"/>
        <v>17</v>
      </c>
      <c r="B149" s="256">
        <v>45198</v>
      </c>
      <c r="C149" s="271">
        <v>45198</v>
      </c>
      <c r="D149" s="220">
        <f t="shared" si="49"/>
        <v>29</v>
      </c>
      <c r="E149" s="220">
        <f t="shared" si="56"/>
        <v>518</v>
      </c>
      <c r="F149" s="257">
        <f t="shared" si="48"/>
        <v>0.85883399999999999</v>
      </c>
      <c r="G149" s="258">
        <f t="shared" si="57"/>
        <v>-3.9535398675443423E-2</v>
      </c>
      <c r="H149" s="258">
        <f t="shared" si="58"/>
        <v>-0.49078425941929765</v>
      </c>
      <c r="I149" s="258">
        <f t="shared" si="59"/>
        <v>-0.3939237474800481</v>
      </c>
      <c r="J149" s="260">
        <f t="shared" si="60"/>
        <v>-3.9535398675443423E-2</v>
      </c>
      <c r="DJ149" s="211"/>
      <c r="DK149" s="242"/>
      <c r="DT149" s="211"/>
      <c r="DU149" s="243"/>
    </row>
    <row r="150" spans="1:125" x14ac:dyDescent="0.35">
      <c r="A150" s="211">
        <f t="shared" si="53"/>
        <v>18</v>
      </c>
      <c r="B150" s="256">
        <v>45230</v>
      </c>
      <c r="C150" s="271">
        <v>45230</v>
      </c>
      <c r="D150" s="220">
        <f t="shared" si="49"/>
        <v>32</v>
      </c>
      <c r="E150" s="220">
        <f t="shared" si="56"/>
        <v>550</v>
      </c>
      <c r="F150" s="257">
        <f t="shared" si="48"/>
        <v>0.86398699999999995</v>
      </c>
      <c r="G150" s="258">
        <f t="shared" si="57"/>
        <v>5.9999953425224906E-3</v>
      </c>
      <c r="H150" s="258">
        <f t="shared" si="58"/>
        <v>6.7499947603378019E-2</v>
      </c>
      <c r="I150" s="258">
        <f t="shared" si="59"/>
        <v>6.9614447701066506E-2</v>
      </c>
      <c r="J150" s="260">
        <f t="shared" si="60"/>
        <v>5.9999953425224906E-3</v>
      </c>
      <c r="DJ150" s="211"/>
      <c r="DK150" s="242"/>
      <c r="DT150" s="211"/>
      <c r="DU150" s="243"/>
    </row>
    <row r="151" spans="1:125" x14ac:dyDescent="0.35">
      <c r="A151" s="211">
        <f t="shared" si="53"/>
        <v>19</v>
      </c>
      <c r="B151" s="256">
        <v>45260</v>
      </c>
      <c r="C151" s="271">
        <v>45260</v>
      </c>
      <c r="D151" s="220">
        <f t="shared" si="49"/>
        <v>30</v>
      </c>
      <c r="E151" s="220">
        <f t="shared" si="56"/>
        <v>580</v>
      </c>
      <c r="F151" s="257">
        <f t="shared" si="48"/>
        <v>0.92690499999999998</v>
      </c>
      <c r="G151" s="258">
        <f t="shared" si="57"/>
        <v>7.2822854973512374E-2</v>
      </c>
      <c r="H151" s="258">
        <f t="shared" si="58"/>
        <v>0.87387425968214849</v>
      </c>
      <c r="I151" s="258">
        <f t="shared" si="59"/>
        <v>1.3245356102776578</v>
      </c>
      <c r="J151" s="260">
        <f t="shared" si="60"/>
        <v>7.2822854973512374E-2</v>
      </c>
      <c r="DJ151" s="211"/>
      <c r="DK151" s="242"/>
      <c r="DT151" s="211"/>
      <c r="DU151" s="243"/>
    </row>
    <row r="152" spans="1:125" x14ac:dyDescent="0.35">
      <c r="A152" s="211">
        <f t="shared" si="53"/>
        <v>20</v>
      </c>
      <c r="B152" s="256">
        <v>45289</v>
      </c>
      <c r="C152" s="271">
        <v>45289</v>
      </c>
      <c r="D152" s="220">
        <f t="shared" si="49"/>
        <v>29</v>
      </c>
      <c r="E152" s="220">
        <f t="shared" si="56"/>
        <v>609</v>
      </c>
      <c r="F152" s="257">
        <f t="shared" si="48"/>
        <v>0.94430199999999997</v>
      </c>
      <c r="G152" s="258">
        <f t="shared" si="57"/>
        <v>1.8768913750600191E-2</v>
      </c>
      <c r="H152" s="258">
        <f t="shared" si="58"/>
        <v>0.23299341207641616</v>
      </c>
      <c r="I152" s="258">
        <f t="shared" si="59"/>
        <v>0.25964996277431185</v>
      </c>
      <c r="J152" s="260">
        <f t="shared" si="60"/>
        <v>1.8768913750600191E-2</v>
      </c>
      <c r="DJ152" s="211"/>
      <c r="DK152" s="242"/>
      <c r="DT152" s="211"/>
      <c r="DU152" s="243"/>
    </row>
    <row r="153" spans="1:125" x14ac:dyDescent="0.35">
      <c r="A153" s="211">
        <f t="shared" si="53"/>
        <v>21</v>
      </c>
      <c r="B153" s="256">
        <v>45322</v>
      </c>
      <c r="C153" s="271">
        <v>45322</v>
      </c>
      <c r="D153" s="220">
        <f t="shared" si="49"/>
        <v>33</v>
      </c>
      <c r="E153" s="220">
        <f t="shared" si="56"/>
        <v>642</v>
      </c>
      <c r="F153" s="257">
        <f t="shared" si="48"/>
        <v>0.96589499999999995</v>
      </c>
      <c r="G153" s="258">
        <f t="shared" si="57"/>
        <v>2.2866625295721033E-2</v>
      </c>
      <c r="H153" s="258">
        <f t="shared" si="58"/>
        <v>0.24945409413513853</v>
      </c>
      <c r="I153" s="258">
        <f t="shared" si="59"/>
        <v>0.27972441454702501</v>
      </c>
      <c r="J153" s="260">
        <f t="shared" si="60"/>
        <v>2.2866625295721033E-2</v>
      </c>
      <c r="DJ153" s="211"/>
      <c r="DK153" s="242"/>
      <c r="DT153" s="211"/>
      <c r="DU153" s="243"/>
    </row>
    <row r="154" spans="1:125" x14ac:dyDescent="0.35">
      <c r="A154" s="211">
        <f t="shared" si="53"/>
        <v>22</v>
      </c>
      <c r="B154" s="256">
        <v>45351</v>
      </c>
      <c r="C154" s="271">
        <v>45351</v>
      </c>
      <c r="D154" s="220">
        <f t="shared" si="49"/>
        <v>29</v>
      </c>
      <c r="E154" s="220">
        <f t="shared" si="56"/>
        <v>671</v>
      </c>
      <c r="F154" s="257">
        <f t="shared" si="48"/>
        <v>1.0131600000000001</v>
      </c>
      <c r="G154" s="258">
        <f t="shared" si="57"/>
        <v>4.8933890329694307E-2</v>
      </c>
      <c r="H154" s="258">
        <f t="shared" si="58"/>
        <v>0.60745519029965345</v>
      </c>
      <c r="I154" s="258">
        <f t="shared" si="59"/>
        <v>0.8095177043246724</v>
      </c>
      <c r="J154" s="260">
        <f t="shared" si="60"/>
        <v>4.8933890329694307E-2</v>
      </c>
      <c r="DJ154" s="211"/>
      <c r="DK154" s="242"/>
      <c r="DT154" s="211"/>
      <c r="DU154" s="243"/>
    </row>
    <row r="155" spans="1:125" x14ac:dyDescent="0.35">
      <c r="A155" s="211">
        <f t="shared" si="53"/>
        <v>23</v>
      </c>
      <c r="B155" s="256">
        <v>45378</v>
      </c>
      <c r="C155" s="271">
        <v>45378</v>
      </c>
      <c r="D155" s="220">
        <f t="shared" si="49"/>
        <v>27</v>
      </c>
      <c r="E155" s="220">
        <f t="shared" si="56"/>
        <v>698</v>
      </c>
      <c r="F155" s="257">
        <f t="shared" si="48"/>
        <v>0.99923600000000001</v>
      </c>
      <c r="G155" s="258">
        <f t="shared" si="57"/>
        <v>-1.3743140273994259E-2</v>
      </c>
      <c r="H155" s="258">
        <f t="shared" si="58"/>
        <v>-0.18324187031992345</v>
      </c>
      <c r="I155" s="258">
        <f t="shared" si="59"/>
        <v>-0.16849060907264979</v>
      </c>
      <c r="J155" s="260">
        <f t="shared" si="60"/>
        <v>-1.3743140273994259E-2</v>
      </c>
      <c r="DJ155" s="211"/>
      <c r="DK155" s="242"/>
      <c r="DT155" s="211"/>
      <c r="DU155" s="243"/>
    </row>
    <row r="156" spans="1:125" x14ac:dyDescent="0.35">
      <c r="A156" s="211">
        <f t="shared" si="53"/>
        <v>24</v>
      </c>
      <c r="B156" s="256">
        <v>45412</v>
      </c>
      <c r="C156" s="271">
        <v>45412</v>
      </c>
      <c r="D156" s="220">
        <f t="shared" si="49"/>
        <v>34</v>
      </c>
      <c r="E156" s="220">
        <f t="shared" si="56"/>
        <v>732</v>
      </c>
      <c r="F156" s="257">
        <f t="shared" si="48"/>
        <v>0.98537799999999998</v>
      </c>
      <c r="G156" s="258">
        <f t="shared" si="57"/>
        <v>-1.3868595607043788E-2</v>
      </c>
      <c r="H156" s="258">
        <f t="shared" si="58"/>
        <v>-0.14684395348634599</v>
      </c>
      <c r="I156" s="258">
        <f t="shared" si="59"/>
        <v>-0.13745825113708166</v>
      </c>
      <c r="J156" s="260">
        <f t="shared" si="60"/>
        <v>-1.3868595607043788E-2</v>
      </c>
      <c r="DJ156" s="211"/>
      <c r="DK156" s="242"/>
      <c r="DT156" s="211"/>
      <c r="DU156" s="243"/>
    </row>
    <row r="157" spans="1:125" x14ac:dyDescent="0.35">
      <c r="A157" s="211">
        <f t="shared" si="53"/>
        <v>25</v>
      </c>
      <c r="B157" s="256">
        <v>45443</v>
      </c>
      <c r="C157" s="271">
        <v>45443</v>
      </c>
      <c r="D157" s="220">
        <f t="shared" si="49"/>
        <v>31</v>
      </c>
      <c r="E157" s="220">
        <f t="shared" si="56"/>
        <v>763</v>
      </c>
      <c r="F157" s="257">
        <f t="shared" si="48"/>
        <v>1.0420739999999999</v>
      </c>
      <c r="G157" s="258">
        <f t="shared" si="57"/>
        <v>5.7537310554934162E-2</v>
      </c>
      <c r="H157" s="258">
        <f t="shared" si="58"/>
        <v>0.66817521934762258</v>
      </c>
      <c r="I157" s="258">
        <f t="shared" si="59"/>
        <v>0.91488896025332189</v>
      </c>
      <c r="J157" s="260">
        <f t="shared" si="60"/>
        <v>5.7537310554934162E-2</v>
      </c>
      <c r="DJ157" s="211"/>
      <c r="DK157" s="242"/>
      <c r="DT157" s="211"/>
      <c r="DU157" s="243"/>
    </row>
    <row r="158" spans="1:125" x14ac:dyDescent="0.35">
      <c r="A158" s="211">
        <f t="shared" si="53"/>
        <v>26</v>
      </c>
      <c r="B158" s="256">
        <v>45471</v>
      </c>
      <c r="C158" s="271">
        <v>45471</v>
      </c>
      <c r="D158" s="220">
        <f t="shared" si="49"/>
        <v>28</v>
      </c>
      <c r="E158" s="220">
        <f t="shared" si="56"/>
        <v>791</v>
      </c>
      <c r="F158" s="257">
        <f t="shared" si="48"/>
        <v>1.1823760000000001</v>
      </c>
      <c r="G158" s="258">
        <f t="shared" si="57"/>
        <v>0.13463727144137572</v>
      </c>
      <c r="H158" s="258">
        <f t="shared" si="58"/>
        <v>1.7310506328176878</v>
      </c>
      <c r="I158" s="258">
        <f t="shared" si="59"/>
        <v>4.0734673607109535</v>
      </c>
      <c r="J158" s="260">
        <f t="shared" si="60"/>
        <v>0.13463727144137572</v>
      </c>
      <c r="DJ158" s="211"/>
      <c r="DK158" s="242"/>
      <c r="DT158" s="211"/>
      <c r="DU158" s="243"/>
    </row>
    <row r="159" spans="1:125" x14ac:dyDescent="0.35">
      <c r="A159" s="211">
        <f t="shared" si="53"/>
        <v>27</v>
      </c>
      <c r="B159" s="256">
        <v>45504</v>
      </c>
      <c r="C159" s="271">
        <v>45504</v>
      </c>
      <c r="D159" s="220">
        <f t="shared" si="49"/>
        <v>33</v>
      </c>
      <c r="E159" s="220">
        <f t="shared" si="56"/>
        <v>824</v>
      </c>
      <c r="F159" s="257">
        <f t="shared" si="48"/>
        <v>1.1915340000000001</v>
      </c>
      <c r="G159" s="258">
        <f t="shared" si="57"/>
        <v>7.745421084325077E-3</v>
      </c>
      <c r="H159" s="258">
        <f t="shared" si="58"/>
        <v>8.4495502738091741E-2</v>
      </c>
      <c r="I159" s="258">
        <f t="shared" si="59"/>
        <v>8.781375860769014E-2</v>
      </c>
      <c r="J159" s="260">
        <f t="shared" si="60"/>
        <v>7.745421084325077E-3</v>
      </c>
      <c r="DJ159" s="211"/>
      <c r="DK159" s="242"/>
      <c r="DT159" s="211"/>
      <c r="DU159" s="243"/>
    </row>
    <row r="160" spans="1:125" x14ac:dyDescent="0.35">
      <c r="A160" s="211">
        <f t="shared" si="53"/>
        <v>28</v>
      </c>
      <c r="B160" s="256">
        <v>45534</v>
      </c>
      <c r="C160" s="271">
        <v>45534</v>
      </c>
      <c r="D160" s="220">
        <f t="shared" si="49"/>
        <v>30</v>
      </c>
      <c r="E160" s="220">
        <f t="shared" si="56"/>
        <v>854</v>
      </c>
      <c r="F160" s="257">
        <f t="shared" si="48"/>
        <v>1.2641659999999999</v>
      </c>
      <c r="G160" s="258">
        <f t="shared" si="57"/>
        <v>6.0956716300164082E-2</v>
      </c>
      <c r="H160" s="258">
        <f t="shared" si="58"/>
        <v>0.73148059560196899</v>
      </c>
      <c r="I160" s="258">
        <f t="shared" si="59"/>
        <v>1.0340985815277319</v>
      </c>
      <c r="J160" s="260">
        <f t="shared" si="60"/>
        <v>6.0956716300164082E-2</v>
      </c>
      <c r="DJ160" s="211"/>
      <c r="DK160" s="242"/>
      <c r="DT160" s="211"/>
      <c r="DU160" s="243"/>
    </row>
    <row r="161" spans="1:125" x14ac:dyDescent="0.35">
      <c r="A161" s="211">
        <f t="shared" si="53"/>
        <v>29</v>
      </c>
      <c r="B161" s="256">
        <v>45565</v>
      </c>
      <c r="C161" s="271">
        <v>45565</v>
      </c>
      <c r="D161" s="220">
        <f t="shared" si="49"/>
        <v>31</v>
      </c>
      <c r="E161" s="220">
        <f t="shared" si="56"/>
        <v>885</v>
      </c>
      <c r="F161" s="257">
        <f t="shared" si="48"/>
        <v>1.2887489999999999</v>
      </c>
      <c r="G161" s="258">
        <f t="shared" si="57"/>
        <v>1.9446022120512607E-2</v>
      </c>
      <c r="H161" s="258">
        <f t="shared" si="58"/>
        <v>0.22582477301240447</v>
      </c>
      <c r="I161" s="258">
        <f t="shared" si="59"/>
        <v>0.25064214136211316</v>
      </c>
      <c r="J161" s="260">
        <f t="shared" si="60"/>
        <v>1.9446022120512607E-2</v>
      </c>
      <c r="DJ161" s="211"/>
      <c r="DK161" s="242"/>
      <c r="DT161" s="211"/>
      <c r="DU161" s="243"/>
    </row>
    <row r="162" spans="1:125" x14ac:dyDescent="0.35">
      <c r="A162" s="211">
        <f t="shared" si="53"/>
        <v>30</v>
      </c>
      <c r="B162" s="256">
        <v>45596</v>
      </c>
      <c r="C162" s="271">
        <v>45596</v>
      </c>
      <c r="D162" s="220">
        <f t="shared" si="49"/>
        <v>31</v>
      </c>
      <c r="E162" s="220">
        <f t="shared" si="56"/>
        <v>916</v>
      </c>
      <c r="F162" s="257">
        <f t="shared" si="48"/>
        <v>1.3008789999999999</v>
      </c>
      <c r="G162" s="258">
        <f t="shared" si="57"/>
        <v>9.4122284478979079E-3</v>
      </c>
      <c r="H162" s="258">
        <f t="shared" si="58"/>
        <v>0.10930329810462087</v>
      </c>
      <c r="I162" s="258">
        <f t="shared" si="59"/>
        <v>0.11493054268069414</v>
      </c>
      <c r="J162" s="260">
        <f t="shared" si="60"/>
        <v>9.4122284478979079E-3</v>
      </c>
      <c r="DJ162" s="211"/>
      <c r="DK162" s="242"/>
      <c r="DT162" s="211"/>
      <c r="DU162" s="243"/>
    </row>
    <row r="163" spans="1:125" x14ac:dyDescent="0.35">
      <c r="A163" s="211">
        <f t="shared" si="53"/>
        <v>31</v>
      </c>
      <c r="B163" s="256">
        <v>45625</v>
      </c>
      <c r="C163" s="271">
        <v>45625</v>
      </c>
      <c r="D163" s="220">
        <f t="shared" si="49"/>
        <v>29</v>
      </c>
      <c r="E163" s="220">
        <f t="shared" si="56"/>
        <v>945</v>
      </c>
      <c r="F163" s="257">
        <f t="shared" si="48"/>
        <v>1.3928290000000001</v>
      </c>
      <c r="G163" s="258">
        <f t="shared" si="57"/>
        <v>7.0682976664240282E-2</v>
      </c>
      <c r="H163" s="258">
        <f t="shared" si="58"/>
        <v>0.8774438482457414</v>
      </c>
      <c r="I163" s="258">
        <f t="shared" si="59"/>
        <v>1.334555735617871</v>
      </c>
      <c r="J163" s="260">
        <f t="shared" si="60"/>
        <v>7.0682976664240282E-2</v>
      </c>
      <c r="DJ163" s="211"/>
      <c r="DK163" s="242"/>
      <c r="DT163" s="211"/>
      <c r="DU163" s="243"/>
    </row>
    <row r="164" spans="1:125" x14ac:dyDescent="0.35">
      <c r="A164" s="211">
        <f t="shared" si="53"/>
        <v>32</v>
      </c>
      <c r="B164" s="256">
        <v>45657</v>
      </c>
      <c r="C164" s="271">
        <v>45657</v>
      </c>
      <c r="D164" s="220">
        <f t="shared" si="49"/>
        <v>32</v>
      </c>
      <c r="E164" s="220">
        <f t="shared" si="56"/>
        <v>977</v>
      </c>
      <c r="F164" s="257">
        <f t="shared" ref="F164:F180" si="61">VLOOKUP($B164,$A$5:$DZ$94,D$98,0)</f>
        <v>1.4298770000000001</v>
      </c>
      <c r="G164" s="258">
        <f t="shared" si="57"/>
        <v>2.6599101540820902E-2</v>
      </c>
      <c r="H164" s="258">
        <f t="shared" si="58"/>
        <v>0.29923989233423515</v>
      </c>
      <c r="I164" s="258">
        <f t="shared" si="59"/>
        <v>0.34356876279457071</v>
      </c>
      <c r="J164" s="260">
        <f t="shared" si="60"/>
        <v>2.6599101540820902E-2</v>
      </c>
      <c r="DJ164" s="211"/>
      <c r="DK164" s="242"/>
      <c r="DT164" s="211"/>
      <c r="DU164" s="243"/>
    </row>
    <row r="165" spans="1:125" x14ac:dyDescent="0.35">
      <c r="A165" s="211">
        <f t="shared" si="53"/>
        <v>33</v>
      </c>
      <c r="B165" s="256">
        <v>45688</v>
      </c>
      <c r="C165" s="271">
        <v>45688</v>
      </c>
      <c r="D165" s="220">
        <f t="shared" si="49"/>
        <v>31</v>
      </c>
      <c r="E165" s="220">
        <f t="shared" si="56"/>
        <v>1008</v>
      </c>
      <c r="F165" s="257">
        <f t="shared" si="61"/>
        <v>1.4251199999999999</v>
      </c>
      <c r="G165" s="258">
        <f t="shared" si="57"/>
        <v>-3.3268595830271419E-3</v>
      </c>
      <c r="H165" s="258">
        <f t="shared" si="58"/>
        <v>-3.8634498383541001E-2</v>
      </c>
      <c r="I165" s="258">
        <f t="shared" si="59"/>
        <v>-3.7959670897532938E-2</v>
      </c>
      <c r="J165" s="260">
        <f t="shared" si="60"/>
        <v>-3.3268595830271419E-3</v>
      </c>
      <c r="DJ165" s="211"/>
      <c r="DK165" s="242"/>
      <c r="DT165" s="211"/>
      <c r="DU165" s="243"/>
    </row>
    <row r="166" spans="1:125" x14ac:dyDescent="0.35">
      <c r="A166" s="211">
        <f t="shared" si="53"/>
        <v>34</v>
      </c>
      <c r="B166" s="256">
        <v>45716</v>
      </c>
      <c r="C166" s="271">
        <v>45716</v>
      </c>
      <c r="D166" s="220">
        <f t="shared" si="49"/>
        <v>28</v>
      </c>
      <c r="E166" s="220">
        <f t="shared" si="56"/>
        <v>1036</v>
      </c>
      <c r="F166" s="257">
        <f t="shared" si="61"/>
        <v>1.3773930000000001</v>
      </c>
      <c r="G166" s="258">
        <f t="shared" si="57"/>
        <v>-3.3489811384304402E-2</v>
      </c>
      <c r="H166" s="258">
        <f t="shared" si="58"/>
        <v>-0.43058328922677092</v>
      </c>
      <c r="I166" s="258">
        <f t="shared" si="59"/>
        <v>-0.35464743337325288</v>
      </c>
      <c r="J166" s="260">
        <f t="shared" si="60"/>
        <v>-3.3489811384304402E-2</v>
      </c>
      <c r="DJ166" s="211"/>
      <c r="DK166" s="242"/>
      <c r="DT166" s="211"/>
      <c r="DU166" s="243"/>
    </row>
    <row r="167" spans="1:125" x14ac:dyDescent="0.35">
      <c r="A167" s="211">
        <f t="shared" si="53"/>
        <v>35</v>
      </c>
      <c r="B167" s="256">
        <v>45747</v>
      </c>
      <c r="C167" s="271">
        <v>45747</v>
      </c>
      <c r="D167" s="220">
        <f t="shared" si="49"/>
        <v>31</v>
      </c>
      <c r="E167" s="220">
        <f t="shared" si="56"/>
        <v>1067</v>
      </c>
      <c r="F167" s="257">
        <f t="shared" si="61"/>
        <v>1.2577609999999999</v>
      </c>
      <c r="G167" s="258">
        <f t="shared" si="57"/>
        <v>-8.6853933481584544E-2</v>
      </c>
      <c r="H167" s="258">
        <f t="shared" si="58"/>
        <v>-1.0086263243022722</v>
      </c>
      <c r="I167" s="258">
        <f t="shared" si="59"/>
        <v>-0.65185691527393352</v>
      </c>
      <c r="J167" s="260">
        <f t="shared" si="60"/>
        <v>-8.6853933481584544E-2</v>
      </c>
      <c r="DJ167" s="211"/>
      <c r="DK167" s="242"/>
      <c r="DT167" s="211"/>
      <c r="DU167" s="243"/>
    </row>
    <row r="168" spans="1:125" x14ac:dyDescent="0.35">
      <c r="A168" s="211">
        <f t="shared" si="53"/>
        <v>36</v>
      </c>
      <c r="B168" s="256">
        <v>45777</v>
      </c>
      <c r="C168" s="271">
        <v>45777</v>
      </c>
      <c r="D168" s="220">
        <f t="shared" si="49"/>
        <v>30</v>
      </c>
      <c r="E168" s="220">
        <f t="shared" si="56"/>
        <v>1097</v>
      </c>
      <c r="F168" s="257">
        <f t="shared" si="61"/>
        <v>1.224191</v>
      </c>
      <c r="G168" s="258">
        <f t="shared" si="57"/>
        <v>-2.6690285356279819E-2</v>
      </c>
      <c r="H168" s="258">
        <f t="shared" si="58"/>
        <v>-0.32028342427535783</v>
      </c>
      <c r="I168" s="258">
        <f t="shared" si="59"/>
        <v>-0.27720906475720586</v>
      </c>
      <c r="J168" s="260">
        <f t="shared" si="60"/>
        <v>-2.6690285356279819E-2</v>
      </c>
      <c r="DJ168" s="211"/>
      <c r="DK168" s="242"/>
      <c r="DT168" s="211"/>
      <c r="DU168" s="243"/>
    </row>
    <row r="169" spans="1:125" x14ac:dyDescent="0.35">
      <c r="A169" s="211">
        <f t="shared" si="53"/>
        <v>37</v>
      </c>
      <c r="B169" s="256">
        <v>45807</v>
      </c>
      <c r="C169" s="271">
        <v>45807</v>
      </c>
      <c r="D169" s="220">
        <f t="shared" si="49"/>
        <v>30</v>
      </c>
      <c r="E169" s="220">
        <f t="shared" si="56"/>
        <v>1127</v>
      </c>
      <c r="F169" s="257">
        <f t="shared" si="61"/>
        <v>1.3165750000000001</v>
      </c>
      <c r="G169" s="258">
        <f t="shared" si="57"/>
        <v>7.5465348136034338E-2</v>
      </c>
      <c r="H169" s="258">
        <f t="shared" si="58"/>
        <v>0.90558417763241206</v>
      </c>
      <c r="I169" s="258">
        <f t="shared" si="59"/>
        <v>1.3941814521277287</v>
      </c>
      <c r="J169" s="260">
        <f t="shared" si="60"/>
        <v>7.5465348136034338E-2</v>
      </c>
      <c r="DJ169" s="211"/>
      <c r="DK169" s="242"/>
      <c r="DT169" s="211"/>
      <c r="DU169" s="243"/>
    </row>
    <row r="170" spans="1:125" x14ac:dyDescent="0.35">
      <c r="A170" s="211">
        <f t="shared" si="53"/>
        <v>38</v>
      </c>
      <c r="B170" s="256">
        <v>45838</v>
      </c>
      <c r="C170" s="271">
        <v>45838</v>
      </c>
      <c r="D170" s="220">
        <f t="shared" si="49"/>
        <v>31</v>
      </c>
      <c r="E170" s="220">
        <f t="shared" si="56"/>
        <v>1158</v>
      </c>
      <c r="F170" s="257">
        <f t="shared" si="61"/>
        <v>1.3750720000000001</v>
      </c>
      <c r="G170" s="258">
        <f t="shared" si="57"/>
        <v>4.443119457683764E-2</v>
      </c>
      <c r="H170" s="258">
        <f t="shared" si="58"/>
        <v>0.51597516282779199</v>
      </c>
      <c r="I170" s="258">
        <f t="shared" si="59"/>
        <v>0.65672220328820408</v>
      </c>
      <c r="J170" s="260">
        <f t="shared" si="60"/>
        <v>4.443119457683764E-2</v>
      </c>
      <c r="DJ170" s="211"/>
      <c r="DK170" s="242"/>
      <c r="DT170" s="211"/>
      <c r="DU170" s="243"/>
    </row>
    <row r="171" spans="1:125" x14ac:dyDescent="0.35">
      <c r="A171" s="211">
        <f t="shared" si="53"/>
        <v>39</v>
      </c>
      <c r="B171" s="256">
        <v>45869</v>
      </c>
      <c r="C171" s="271">
        <v>45869</v>
      </c>
      <c r="D171" s="220">
        <f t="shared" ref="D171" si="62">+B171-B170</f>
        <v>31</v>
      </c>
      <c r="E171" s="220">
        <f t="shared" ref="E171" si="63">+E170+D171</f>
        <v>1189</v>
      </c>
      <c r="F171" s="257">
        <f t="shared" si="61"/>
        <v>1.4220470000000001</v>
      </c>
      <c r="G171" s="258">
        <f t="shared" ref="G171" si="64">+IF(F170&gt;0,F171/F170-1," ")</f>
        <v>3.4161847525075117E-2</v>
      </c>
      <c r="H171" s="258">
        <f t="shared" ref="H171" si="65">IF(F170&gt;0,(F171/F170-1)*(360/D171)," ")</f>
        <v>0.39671822932345296</v>
      </c>
      <c r="I171" s="258">
        <f t="shared" ref="I171" si="66">+IF(F170&gt;0,((F171/F170)^(360/D171)-1)," ")</f>
        <v>0.47711726446923608</v>
      </c>
      <c r="J171" s="260">
        <f t="shared" ref="J171" si="67">IF($F$101=$I$101,G171,IF($G$101=$I$101,H171,I171))</f>
        <v>3.4161847525075117E-2</v>
      </c>
      <c r="DJ171" s="211"/>
      <c r="DK171" s="242"/>
      <c r="DT171" s="211"/>
      <c r="DU171" s="243"/>
    </row>
    <row r="172" spans="1:125" x14ac:dyDescent="0.35">
      <c r="A172" s="211">
        <f t="shared" si="53"/>
        <v>40</v>
      </c>
      <c r="B172" s="256">
        <v>45898</v>
      </c>
      <c r="C172" s="271">
        <v>45898</v>
      </c>
      <c r="D172" s="220">
        <f t="shared" ref="D172" si="68">+B172-B171</f>
        <v>29</v>
      </c>
      <c r="E172" s="220">
        <f t="shared" ref="E172" si="69">+E171+D172</f>
        <v>1218</v>
      </c>
      <c r="F172" s="257">
        <f t="shared" si="61"/>
        <v>1.4217109999999999</v>
      </c>
      <c r="G172" s="258">
        <f t="shared" ref="G172" si="70">+IF(F171&gt;0,F172/F171-1," ")</f>
        <v>-2.3627911032486626E-4</v>
      </c>
      <c r="H172" s="258">
        <f t="shared" ref="H172" si="71">IF(F171&gt;0,(F172/F171-1)*(360/D172)," ")</f>
        <v>-2.9331199902397189E-3</v>
      </c>
      <c r="I172" s="258">
        <f t="shared" ref="I172" si="72">+IF(F171&gt;0,((F172/F171)^(360/D172)-1)," ")</f>
        <v>-2.9291681533942793E-3</v>
      </c>
      <c r="J172" s="260">
        <f t="shared" ref="J172" si="73">IF($F$101=$I$101,G172,IF($G$101=$I$101,H172,I172))</f>
        <v>-2.3627911032486626E-4</v>
      </c>
      <c r="DJ172" s="211"/>
      <c r="DK172" s="242"/>
      <c r="DT172" s="211"/>
      <c r="DU172" s="243"/>
    </row>
    <row r="173" spans="1:125" x14ac:dyDescent="0.35">
      <c r="A173" s="211">
        <f t="shared" si="53"/>
        <v>41</v>
      </c>
      <c r="B173" s="256">
        <v>45930</v>
      </c>
      <c r="C173" s="271">
        <v>45930</v>
      </c>
      <c r="D173" s="220">
        <f t="shared" ref="D173" si="74">+B173-B172</f>
        <v>32</v>
      </c>
      <c r="E173" s="220">
        <f t="shared" ref="E173" si="75">+E172+D173</f>
        <v>1250</v>
      </c>
      <c r="F173" s="257">
        <f t="shared" si="61"/>
        <v>1.4756130000000001</v>
      </c>
      <c r="G173" s="258">
        <f t="shared" ref="G173" si="76">+IF(F172&gt;0,F173/F172-1," ")</f>
        <v>3.7913471865941961E-2</v>
      </c>
      <c r="H173" s="258">
        <f t="shared" ref="H173" si="77">IF(F172&gt;0,(F173/F172-1)*(360/D173)," ")</f>
        <v>0.42652655849184706</v>
      </c>
      <c r="I173" s="258">
        <f t="shared" ref="I173" si="78">+IF(F172&gt;0,((F173/F172)^(360/D173)-1)," ")</f>
        <v>0.51989269102377555</v>
      </c>
      <c r="J173" s="260">
        <f t="shared" ref="J173" si="79">IF($F$101=$I$101,G173,IF($G$101=$I$101,H173,I173))</f>
        <v>3.7913471865941961E-2</v>
      </c>
      <c r="DJ173" s="211"/>
      <c r="DK173" s="242"/>
      <c r="DT173" s="211"/>
      <c r="DU173" s="243"/>
    </row>
    <row r="174" spans="1:125" x14ac:dyDescent="0.35">
      <c r="A174" s="211">
        <f t="shared" si="53"/>
        <v>42</v>
      </c>
      <c r="B174" s="256">
        <v>45961</v>
      </c>
      <c r="C174" s="271">
        <v>45961</v>
      </c>
      <c r="D174" s="220">
        <f t="shared" ref="D174" si="80">+B174-B173</f>
        <v>31</v>
      </c>
      <c r="E174" s="220">
        <f t="shared" ref="E174" si="81">+E173+D174</f>
        <v>1281</v>
      </c>
      <c r="F174" s="257">
        <f t="shared" si="61"/>
        <v>1.5688679999999999</v>
      </c>
      <c r="G174" s="258">
        <f t="shared" ref="G174" si="82">+IF(F173&gt;0,F174/F173-1," ")</f>
        <v>6.3197464375821966E-2</v>
      </c>
      <c r="H174" s="258">
        <f t="shared" ref="H174" si="83">IF(F173&gt;0,(F174/F173-1)*(360/D174)," ")</f>
        <v>0.7339060379127712</v>
      </c>
      <c r="I174" s="258">
        <f t="shared" ref="I174" si="84">+IF(F173&gt;0,((F174/F173)^(360/D174)-1)," ")</f>
        <v>1.0373470693759801</v>
      </c>
      <c r="J174" s="260">
        <f t="shared" ref="J174" si="85">IF($F$101=$I$101,G174,IF($G$101=$I$101,H174,I174))</f>
        <v>6.3197464375821966E-2</v>
      </c>
      <c r="DJ174" s="211"/>
      <c r="DK174" s="242"/>
      <c r="DT174" s="211"/>
      <c r="DU174" s="243"/>
    </row>
    <row r="175" spans="1:125" x14ac:dyDescent="0.35">
      <c r="A175" s="211">
        <f t="shared" si="53"/>
        <v>43</v>
      </c>
      <c r="B175" s="256">
        <v>45989</v>
      </c>
      <c r="C175" s="271">
        <v>45989</v>
      </c>
      <c r="D175" s="220">
        <f t="shared" ref="D175" si="86">+B175-B174</f>
        <v>28</v>
      </c>
      <c r="E175" s="220">
        <f t="shared" ref="E175" si="87">+E174+D175</f>
        <v>1309</v>
      </c>
      <c r="F175" s="257">
        <f t="shared" si="61"/>
        <v>1.494785</v>
      </c>
      <c r="G175" s="258">
        <f t="shared" ref="G175" si="88">+IF(F174&gt;0,F175/F174-1," ")</f>
        <v>-4.7220671210069898E-2</v>
      </c>
      <c r="H175" s="258">
        <f t="shared" ref="H175" si="89">IF(F174&gt;0,(F175/F174-1)*(360/D175)," ")</f>
        <v>-0.60712291555804154</v>
      </c>
      <c r="I175" s="258">
        <f t="shared" ref="I175" si="90">+IF(F174&gt;0,((F175/F174)^(360/D175)-1)," ")</f>
        <v>-0.46309019191483791</v>
      </c>
      <c r="J175" s="260">
        <f t="shared" ref="J175" si="91">IF($F$101=$I$101,G175,IF($G$101=$I$101,H175,I175))</f>
        <v>-4.7220671210069898E-2</v>
      </c>
      <c r="DJ175" s="211"/>
      <c r="DK175" s="242"/>
      <c r="DT175" s="211"/>
      <c r="DU175" s="243"/>
    </row>
    <row r="176" spans="1:125" x14ac:dyDescent="0.35">
      <c r="A176" s="211">
        <f t="shared" si="53"/>
        <v>44</v>
      </c>
      <c r="B176" s="256">
        <v>46022</v>
      </c>
      <c r="C176" s="271">
        <v>46022</v>
      </c>
      <c r="D176" s="220">
        <f t="shared" ref="D176" si="92">+B176-B175</f>
        <v>33</v>
      </c>
      <c r="E176" s="220">
        <f t="shared" ref="E176" si="93">+E175+D176</f>
        <v>1342</v>
      </c>
      <c r="F176" s="257">
        <f t="shared" si="61"/>
        <v>1.465935</v>
      </c>
      <c r="G176" s="258">
        <f t="shared" ref="G176" si="94">+IF(F175&gt;0,F176/F175-1," ")</f>
        <v>-1.9300434510648667E-2</v>
      </c>
      <c r="H176" s="258">
        <f t="shared" ref="H176" si="95">IF(F175&gt;0,(F176/F175-1)*(360/D176)," ")</f>
        <v>-0.21055019466162181</v>
      </c>
      <c r="I176" s="258">
        <f t="shared" ref="I176" si="96">+IF(F175&gt;0,((F176/F175)^(360/D176)-1)," ")</f>
        <v>-0.19152747073669585</v>
      </c>
      <c r="J176" s="260">
        <f t="shared" ref="J176" si="97">IF($F$101=$I$101,G176,IF($G$101=$I$101,H176,I176))</f>
        <v>-1.9300434510648667E-2</v>
      </c>
      <c r="DJ176" s="211"/>
      <c r="DK176" s="242"/>
      <c r="DT176" s="211"/>
      <c r="DU176" s="243"/>
    </row>
    <row r="177" spans="1:125" x14ac:dyDescent="0.35">
      <c r="A177" s="211">
        <f t="shared" si="53"/>
        <v>45</v>
      </c>
      <c r="B177" s="256">
        <v>46052</v>
      </c>
      <c r="C177" s="271">
        <v>46052</v>
      </c>
      <c r="D177" s="220">
        <f t="shared" ref="D177" si="98">+B177-B176</f>
        <v>30</v>
      </c>
      <c r="E177" s="220">
        <f t="shared" ref="E177" si="99">+E176+D177</f>
        <v>1372</v>
      </c>
      <c r="F177" s="257">
        <f t="shared" si="61"/>
        <v>1.4239980000000001</v>
      </c>
      <c r="G177" s="258">
        <f t="shared" ref="G177" si="100">+IF(F176&gt;0,F177/F176-1," ")</f>
        <v>-2.8607680422392479E-2</v>
      </c>
      <c r="H177" s="258">
        <f t="shared" ref="H177" si="101">IF(F176&gt;0,(F177/F176-1)*(360/D177)," ")</f>
        <v>-0.34329216506870974</v>
      </c>
      <c r="I177" s="258">
        <f t="shared" ref="I177" si="102">+IF(F176&gt;0,((F177/F176)^(360/D177)-1)," ")</f>
        <v>-0.29411169895095124</v>
      </c>
      <c r="J177" s="260">
        <f t="shared" ref="J177" si="103">IF($F$101=$I$101,G177,IF($G$101=$I$101,H177,I177))</f>
        <v>-2.8607680422392479E-2</v>
      </c>
      <c r="DJ177" s="211"/>
      <c r="DK177" s="242"/>
      <c r="DT177" s="211"/>
      <c r="DU177" s="243"/>
    </row>
    <row r="178" spans="1:125" x14ac:dyDescent="0.35">
      <c r="A178" s="211">
        <f t="shared" si="53"/>
        <v>46</v>
      </c>
      <c r="B178" s="256">
        <v>46080</v>
      </c>
      <c r="C178" s="271">
        <v>46080</v>
      </c>
      <c r="D178" s="220">
        <f t="shared" ref="D178" si="104">+B178-B177</f>
        <v>28</v>
      </c>
      <c r="E178" s="220">
        <f t="shared" ref="E178" si="105">+E177+D178</f>
        <v>1400</v>
      </c>
      <c r="F178" s="257">
        <f t="shared" si="61"/>
        <v>1.3717250000000001</v>
      </c>
      <c r="G178" s="258">
        <f t="shared" ref="G178" si="106">+IF(F177&gt;0,F178/F177-1," ")</f>
        <v>-3.6708618972779439E-2</v>
      </c>
      <c r="H178" s="258">
        <f t="shared" ref="H178" si="107">IF(F177&gt;0,(F178/F177-1)*(360/D178)," ")</f>
        <v>-0.47196795822144993</v>
      </c>
      <c r="I178" s="258">
        <f t="shared" ref="I178" si="108">+IF(F177&gt;0,((F178/F177)^(360/D178)-1)," ")</f>
        <v>-0.38174149333579477</v>
      </c>
      <c r="J178" s="260">
        <f t="shared" ref="J178" si="109">IF($F$101=$I$101,G178,IF($G$101=$I$101,H178,I178))</f>
        <v>-3.6708618972779439E-2</v>
      </c>
      <c r="DJ178" s="211"/>
      <c r="DK178" s="242"/>
      <c r="DT178" s="211"/>
      <c r="DU178" s="243"/>
    </row>
    <row r="179" spans="1:125" x14ac:dyDescent="0.35">
      <c r="A179" s="211">
        <f t="shared" si="53"/>
        <v>47</v>
      </c>
      <c r="B179" s="256">
        <v>46112</v>
      </c>
      <c r="C179" s="271">
        <v>46112</v>
      </c>
      <c r="D179" s="220">
        <f t="shared" ref="D179" si="110">+B179-B178</f>
        <v>32</v>
      </c>
      <c r="E179" s="220">
        <f t="shared" ref="E179" si="111">+E178+D179</f>
        <v>1432</v>
      </c>
      <c r="F179" s="257">
        <f t="shared" si="61"/>
        <v>1.365127</v>
      </c>
      <c r="G179" s="258">
        <f t="shared" ref="G179" si="112">+IF(F178&gt;0,F179/F178-1," ")</f>
        <v>-4.8100020047751046E-3</v>
      </c>
      <c r="H179" s="258">
        <f t="shared" ref="H179" si="113">IF(F178&gt;0,(F179/F178-1)*(360/D179)," ")</f>
        <v>-5.4112522553719927E-2</v>
      </c>
      <c r="I179" s="258">
        <f t="shared" ref="I179" si="114">+IF(F178&gt;0,((F179/F178)^(360/D179)-1)," ")</f>
        <v>-5.2798169251514815E-2</v>
      </c>
      <c r="J179" s="260">
        <f t="shared" ref="J179" si="115">IF($F$101=$I$101,G179,IF($G$101=$I$101,H179,I179))</f>
        <v>-4.8100020047751046E-3</v>
      </c>
      <c r="DJ179" s="211"/>
      <c r="DK179" s="242"/>
      <c r="DT179" s="211"/>
      <c r="DU179" s="243"/>
    </row>
    <row r="180" spans="1:125" x14ac:dyDescent="0.35">
      <c r="A180" s="211">
        <f t="shared" si="53"/>
        <v>48</v>
      </c>
      <c r="B180" s="261">
        <v>46142</v>
      </c>
      <c r="C180" s="272">
        <f t="shared" ref="C180" si="116">+B180</f>
        <v>46142</v>
      </c>
      <c r="D180" s="220">
        <f t="shared" ref="D180" si="117">+B180-B179</f>
        <v>30</v>
      </c>
      <c r="E180" s="220">
        <f t="shared" ref="E180" si="118">+E179+D180</f>
        <v>1462</v>
      </c>
      <c r="F180" s="257">
        <f t="shared" si="61"/>
        <v>1.5378210000000001</v>
      </c>
      <c r="G180" s="258">
        <f t="shared" ref="G180" si="119">+IF(F179&gt;0,F180/F179-1," ")</f>
        <v>0.12650398094829285</v>
      </c>
      <c r="H180" s="258">
        <f t="shared" ref="H180" si="120">IF(F179&gt;0,(F180/F179-1)*(360/D180)," ")</f>
        <v>1.5180477713795142</v>
      </c>
      <c r="I180" s="258">
        <f t="shared" ref="I180" si="121">+IF(F179&gt;0,((F180/F179)^(360/D180)-1)," ")</f>
        <v>3.1763104008059315</v>
      </c>
      <c r="J180" s="260">
        <f t="shared" ref="J180" si="122">IF($F$101=$I$101,G180,IF($G$101=$I$101,H180,I180))</f>
        <v>0.12650398094829285</v>
      </c>
      <c r="DJ180" s="211"/>
      <c r="DK180" s="242"/>
      <c r="DT180" s="211"/>
      <c r="DU180" s="243"/>
    </row>
    <row r="181" spans="1:125" x14ac:dyDescent="0.35">
      <c r="A181" s="245"/>
      <c r="B181" s="247">
        <v>1</v>
      </c>
      <c r="C181" s="247">
        <f>+B181+1</f>
        <v>2</v>
      </c>
      <c r="D181" s="247">
        <f t="shared" ref="D181:M181" si="123">+C181+1</f>
        <v>3</v>
      </c>
      <c r="E181" s="247">
        <f t="shared" si="123"/>
        <v>4</v>
      </c>
      <c r="F181" s="247">
        <f t="shared" si="123"/>
        <v>5</v>
      </c>
      <c r="G181" s="247">
        <f t="shared" si="123"/>
        <v>6</v>
      </c>
      <c r="H181" s="247">
        <f t="shared" si="123"/>
        <v>7</v>
      </c>
      <c r="I181" s="247">
        <f t="shared" si="123"/>
        <v>8</v>
      </c>
      <c r="J181" s="247">
        <f t="shared" si="123"/>
        <v>9</v>
      </c>
      <c r="K181" s="247">
        <f t="shared" si="123"/>
        <v>10</v>
      </c>
      <c r="L181" s="247">
        <f t="shared" si="123"/>
        <v>11</v>
      </c>
      <c r="M181" s="247">
        <f t="shared" si="123"/>
        <v>12</v>
      </c>
    </row>
    <row r="182" spans="1:125" x14ac:dyDescent="0.35">
      <c r="A182" s="245"/>
      <c r="B182" s="245"/>
      <c r="C182" s="245"/>
      <c r="D182" s="245"/>
    </row>
    <row r="183" spans="1:125" x14ac:dyDescent="0.35">
      <c r="L183" s="273"/>
      <c r="M183" s="273"/>
      <c r="N183" s="273"/>
      <c r="O183" s="273"/>
    </row>
    <row r="185" spans="1:125" ht="27.75" customHeight="1" thickBot="1" x14ac:dyDescent="0.4">
      <c r="A185" s="373" t="str">
        <f>+B98&amp;" Rendimiento Neto "&amp;C98</f>
        <v>MVFANG+ BF-1 Rendimiento Neto Efectivo</v>
      </c>
      <c r="B185" s="373"/>
      <c r="C185" s="373"/>
      <c r="D185" s="373"/>
      <c r="E185" s="373"/>
      <c r="F185" s="373"/>
      <c r="G185" s="373"/>
      <c r="H185" s="373"/>
      <c r="I185" s="373"/>
      <c r="J185" s="373"/>
      <c r="K185" s="373"/>
      <c r="L185" s="373"/>
      <c r="M185" s="373"/>
      <c r="N185" s="373"/>
    </row>
    <row r="186" spans="1:125" x14ac:dyDescent="0.35">
      <c r="B186" s="274" t="s">
        <v>49</v>
      </c>
      <c r="C186" s="274" t="s">
        <v>50</v>
      </c>
      <c r="D186" s="274" t="s">
        <v>51</v>
      </c>
      <c r="E186" s="274" t="s">
        <v>52</v>
      </c>
      <c r="F186" s="274" t="s">
        <v>53</v>
      </c>
      <c r="G186" s="274" t="s">
        <v>54</v>
      </c>
      <c r="H186" s="274" t="s">
        <v>55</v>
      </c>
      <c r="I186" s="274" t="s">
        <v>56</v>
      </c>
      <c r="J186" s="274" t="s">
        <v>57</v>
      </c>
      <c r="K186" s="274" t="s">
        <v>58</v>
      </c>
      <c r="L186" s="274" t="s">
        <v>59</v>
      </c>
      <c r="M186" s="274" t="s">
        <v>60</v>
      </c>
      <c r="N186" s="274" t="s">
        <v>66</v>
      </c>
    </row>
    <row r="187" spans="1:125" ht="15.5" x14ac:dyDescent="0.35">
      <c r="A187" s="275">
        <v>2026</v>
      </c>
      <c r="B187" s="276">
        <f t="shared" ref="B187:E187" si="124">VLOOKUP(B195,$C$132:$J$180,8,0)</f>
        <v>-2.8607680422392479E-2</v>
      </c>
      <c r="C187" s="276">
        <f t="shared" si="124"/>
        <v>-3.6708618972779439E-2</v>
      </c>
      <c r="D187" s="276">
        <f t="shared" si="124"/>
        <v>-4.8100020047751046E-3</v>
      </c>
      <c r="E187" s="276">
        <f t="shared" si="124"/>
        <v>0.12650398094829285</v>
      </c>
      <c r="F187" s="276"/>
      <c r="G187" s="276"/>
      <c r="H187" s="276"/>
      <c r="I187" s="276"/>
      <c r="J187" s="276"/>
      <c r="K187" s="276"/>
      <c r="L187" s="276"/>
      <c r="M187" s="276"/>
      <c r="N187" s="276">
        <f>VLOOKUP(A187,$A$122:$J$125,10,0)</f>
        <v>4.9037644916043455E-2</v>
      </c>
    </row>
    <row r="188" spans="1:125" ht="15.5" x14ac:dyDescent="0.35">
      <c r="A188" s="275">
        <v>2025</v>
      </c>
      <c r="B188" s="276">
        <f t="shared" ref="B188:H188" si="125">VLOOKUP(B196,$C$132:$J$180,8,0)</f>
        <v>-3.3268595830271419E-3</v>
      </c>
      <c r="C188" s="276">
        <f t="shared" si="125"/>
        <v>-3.3489811384304402E-2</v>
      </c>
      <c r="D188" s="276">
        <f t="shared" si="125"/>
        <v>-8.6853933481584544E-2</v>
      </c>
      <c r="E188" s="276">
        <f t="shared" si="125"/>
        <v>-2.6690285356279819E-2</v>
      </c>
      <c r="F188" s="276">
        <f t="shared" si="125"/>
        <v>7.5465348136034338E-2</v>
      </c>
      <c r="G188" s="276">
        <f t="shared" si="125"/>
        <v>4.443119457683764E-2</v>
      </c>
      <c r="H188" s="276">
        <f t="shared" si="125"/>
        <v>3.4161847525075117E-2</v>
      </c>
      <c r="I188" s="276">
        <f>VLOOKUP(I196,$C$132:$J$180,8,0)</f>
        <v>-2.3627911032486626E-4</v>
      </c>
      <c r="J188" s="276">
        <f>VLOOKUP(J196,$C$132:$J$180,8,0)</f>
        <v>3.7913471865941961E-2</v>
      </c>
      <c r="K188" s="276">
        <f>VLOOKUP(K196,$C$132:$J$180,8,0)</f>
        <v>6.3197464375821966E-2</v>
      </c>
      <c r="L188" s="276">
        <f>VLOOKUP(L196,$C$132:$J$180,8,0)</f>
        <v>-4.7220671210069898E-2</v>
      </c>
      <c r="M188" s="276">
        <f>VLOOKUP(M196,$C$132:$J$180,8,0)</f>
        <v>-1.9300434510648667E-2</v>
      </c>
      <c r="N188" s="276">
        <f>VLOOKUP(A188,$A$122:$J$125,10,0)</f>
        <v>2.521755367769396E-2</v>
      </c>
    </row>
    <row r="189" spans="1:125" ht="15.5" x14ac:dyDescent="0.35">
      <c r="A189" s="275">
        <v>2024</v>
      </c>
      <c r="B189" s="276">
        <f t="shared" ref="B189:M189" si="126">VLOOKUP(B197,$C$132:$J$180,8,0)</f>
        <v>2.2866625295721033E-2</v>
      </c>
      <c r="C189" s="276">
        <f t="shared" si="126"/>
        <v>4.8933890329694307E-2</v>
      </c>
      <c r="D189" s="276">
        <f t="shared" si="126"/>
        <v>-1.3743140273994259E-2</v>
      </c>
      <c r="E189" s="276">
        <f t="shared" si="126"/>
        <v>-1.3868595607043788E-2</v>
      </c>
      <c r="F189" s="276">
        <f t="shared" si="126"/>
        <v>5.7537310554934162E-2</v>
      </c>
      <c r="G189" s="276">
        <f t="shared" si="126"/>
        <v>0.13463727144137572</v>
      </c>
      <c r="H189" s="276">
        <f t="shared" si="126"/>
        <v>7.745421084325077E-3</v>
      </c>
      <c r="I189" s="276">
        <f t="shared" si="126"/>
        <v>6.0956716300164082E-2</v>
      </c>
      <c r="J189" s="276">
        <f t="shared" si="126"/>
        <v>1.9446022120512607E-2</v>
      </c>
      <c r="K189" s="276">
        <f t="shared" si="126"/>
        <v>9.4122284478979079E-3</v>
      </c>
      <c r="L189" s="276">
        <f t="shared" si="126"/>
        <v>7.0682976664240282E-2</v>
      </c>
      <c r="M189" s="276">
        <f t="shared" si="126"/>
        <v>2.6599101540820902E-2</v>
      </c>
      <c r="N189" s="276">
        <f>VLOOKUP(A189,$A$122:$J$125,10,0)</f>
        <v>0.51421579113461591</v>
      </c>
    </row>
    <row r="190" spans="1:125" ht="15.5" x14ac:dyDescent="0.35">
      <c r="A190" s="275">
        <v>2023</v>
      </c>
      <c r="B190" s="276">
        <f t="shared" ref="B190:M190" si="127">VLOOKUP(B198,$C$132:$J$180,8,0)</f>
        <v>8.2397767869077487E-2</v>
      </c>
      <c r="C190" s="276">
        <f t="shared" si="127"/>
        <v>-2.4056510571033307E-2</v>
      </c>
      <c r="D190" s="276">
        <f t="shared" si="127"/>
        <v>7.872359696629827E-2</v>
      </c>
      <c r="E190" s="276">
        <f t="shared" si="127"/>
        <v>-1.3440445306586501E-2</v>
      </c>
      <c r="F190" s="276">
        <f t="shared" si="127"/>
        <v>6.6940013817548216E-2</v>
      </c>
      <c r="G190" s="276">
        <f t="shared" si="127"/>
        <v>3.5354992797383522E-2</v>
      </c>
      <c r="H190" s="276">
        <f t="shared" si="127"/>
        <v>1.6400277813341635E-2</v>
      </c>
      <c r="I190" s="276">
        <f t="shared" si="127"/>
        <v>-3.2282444637168339E-3</v>
      </c>
      <c r="J190" s="276">
        <f t="shared" si="127"/>
        <v>-3.9535398675443423E-2</v>
      </c>
      <c r="K190" s="276">
        <f t="shared" si="127"/>
        <v>5.9999953425224906E-3</v>
      </c>
      <c r="L190" s="276">
        <f t="shared" si="127"/>
        <v>7.2822854973512374E-2</v>
      </c>
      <c r="M190" s="276">
        <f t="shared" si="127"/>
        <v>1.8768913750600191E-2</v>
      </c>
      <c r="N190" s="276">
        <f>VLOOKUP(A190,$A$122:$J$125,10,0)</f>
        <v>0.32867227325875081</v>
      </c>
    </row>
    <row r="191" spans="1:125" x14ac:dyDescent="0.35">
      <c r="A191" s="277"/>
      <c r="B191" s="278"/>
      <c r="C191" s="279"/>
      <c r="D191" s="278"/>
      <c r="E191" s="278"/>
      <c r="F191" s="278"/>
      <c r="G191" s="278"/>
      <c r="H191" s="278"/>
      <c r="I191" s="278"/>
      <c r="J191" s="278"/>
      <c r="K191" s="278"/>
      <c r="L191" s="278"/>
      <c r="M191" s="280"/>
      <c r="N191" s="280"/>
    </row>
    <row r="192" spans="1:125" ht="15.5" x14ac:dyDescent="0.35">
      <c r="B192" s="281"/>
      <c r="C192" s="282" t="s">
        <v>68</v>
      </c>
      <c r="D192" s="283">
        <f>+MAX($B$187:$M$190)</f>
        <v>0.13463727144137572</v>
      </c>
      <c r="E192" s="281"/>
      <c r="F192" s="281"/>
      <c r="G192" s="281"/>
      <c r="H192" s="281"/>
      <c r="I192" s="281"/>
      <c r="J192" s="281"/>
      <c r="K192" s="281"/>
      <c r="L192" s="281"/>
      <c r="M192" s="284"/>
      <c r="N192" s="285"/>
    </row>
    <row r="193" spans="1:14" ht="15.5" x14ac:dyDescent="0.35">
      <c r="B193" s="281"/>
      <c r="C193" s="282" t="s">
        <v>67</v>
      </c>
      <c r="D193" s="283">
        <f>+MIN($B$187:$M$190)</f>
        <v>-8.6853933481584544E-2</v>
      </c>
      <c r="E193" s="278"/>
      <c r="F193" s="278"/>
      <c r="G193" s="278"/>
      <c r="H193" s="278"/>
      <c r="I193" s="278"/>
      <c r="J193" s="278"/>
      <c r="K193" s="278"/>
      <c r="L193" s="278"/>
      <c r="M193" s="278"/>
      <c r="N193" s="278"/>
    </row>
    <row r="194" spans="1:14" x14ac:dyDescent="0.35">
      <c r="A194" s="278"/>
      <c r="B194" s="286"/>
      <c r="C194" s="278"/>
      <c r="D194" s="278"/>
      <c r="E194" s="278"/>
      <c r="F194" s="278"/>
      <c r="G194" s="278"/>
      <c r="H194" s="278"/>
      <c r="I194" s="278"/>
      <c r="J194" s="278"/>
      <c r="K194" s="278"/>
      <c r="L194" s="278"/>
      <c r="M194" s="278"/>
      <c r="N194" s="278"/>
    </row>
    <row r="195" spans="1:14" x14ac:dyDescent="0.35">
      <c r="A195" s="287">
        <v>26</v>
      </c>
      <c r="B195" s="288">
        <v>46052</v>
      </c>
      <c r="C195" s="288">
        <v>46080</v>
      </c>
      <c r="D195" s="288">
        <v>46112</v>
      </c>
      <c r="E195" s="288">
        <v>46142</v>
      </c>
      <c r="F195" s="288">
        <v>46172</v>
      </c>
      <c r="G195" s="288">
        <v>46203</v>
      </c>
      <c r="H195" s="288">
        <v>46234</v>
      </c>
      <c r="I195" s="288">
        <v>46263</v>
      </c>
      <c r="J195" s="288">
        <v>46295</v>
      </c>
      <c r="K195" s="288">
        <v>46326</v>
      </c>
      <c r="L195" s="288">
        <v>46354</v>
      </c>
      <c r="M195" s="288">
        <v>46387</v>
      </c>
      <c r="N195" s="278"/>
    </row>
    <row r="196" spans="1:14" x14ac:dyDescent="0.35">
      <c r="A196" s="287">
        <v>25</v>
      </c>
      <c r="B196" s="288">
        <v>45688</v>
      </c>
      <c r="C196" s="288">
        <v>45716</v>
      </c>
      <c r="D196" s="288">
        <v>45747</v>
      </c>
      <c r="E196" s="288">
        <v>45777</v>
      </c>
      <c r="F196" s="288">
        <v>45807</v>
      </c>
      <c r="G196" s="288">
        <v>45838</v>
      </c>
      <c r="H196" s="288">
        <v>45869</v>
      </c>
      <c r="I196" s="288">
        <v>45898</v>
      </c>
      <c r="J196" s="288">
        <v>45930</v>
      </c>
      <c r="K196" s="288">
        <v>45961</v>
      </c>
      <c r="L196" s="288">
        <v>45989</v>
      </c>
      <c r="M196" s="288">
        <v>46022</v>
      </c>
      <c r="N196" s="278"/>
    </row>
    <row r="197" spans="1:14" x14ac:dyDescent="0.35">
      <c r="A197" s="287">
        <v>24</v>
      </c>
      <c r="B197" s="288">
        <v>45322</v>
      </c>
      <c r="C197" s="288">
        <v>45351</v>
      </c>
      <c r="D197" s="288">
        <v>45378</v>
      </c>
      <c r="E197" s="288">
        <v>45412</v>
      </c>
      <c r="F197" s="288">
        <v>45443</v>
      </c>
      <c r="G197" s="288">
        <v>45471</v>
      </c>
      <c r="H197" s="288">
        <v>45504</v>
      </c>
      <c r="I197" s="288">
        <v>45534</v>
      </c>
      <c r="J197" s="288">
        <v>45565</v>
      </c>
      <c r="K197" s="288">
        <v>45596</v>
      </c>
      <c r="L197" s="288">
        <v>45625</v>
      </c>
      <c r="M197" s="288">
        <v>45657</v>
      </c>
      <c r="N197" s="278"/>
    </row>
    <row r="198" spans="1:14" x14ac:dyDescent="0.35">
      <c r="A198" s="287">
        <v>23</v>
      </c>
      <c r="B198" s="288">
        <v>44957</v>
      </c>
      <c r="C198" s="288">
        <v>44985</v>
      </c>
      <c r="D198" s="288">
        <v>45016</v>
      </c>
      <c r="E198" s="288">
        <v>45044</v>
      </c>
      <c r="F198" s="288">
        <v>45077</v>
      </c>
      <c r="G198" s="288">
        <v>45107</v>
      </c>
      <c r="H198" s="288">
        <v>45138</v>
      </c>
      <c r="I198" s="288">
        <v>45169</v>
      </c>
      <c r="J198" s="288">
        <v>45198</v>
      </c>
      <c r="K198" s="288">
        <v>45230</v>
      </c>
      <c r="L198" s="288">
        <v>45260</v>
      </c>
      <c r="M198" s="288">
        <v>45289</v>
      </c>
      <c r="N198" s="278"/>
    </row>
    <row r="200" spans="1:14" x14ac:dyDescent="0.35">
      <c r="B200" s="266"/>
      <c r="C200" s="289"/>
      <c r="D200" s="290"/>
      <c r="E200" s="289"/>
      <c r="F200" s="290"/>
      <c r="G200" s="289"/>
      <c r="H200" s="290"/>
    </row>
    <row r="201" spans="1:14" x14ac:dyDescent="0.35">
      <c r="A201" s="291" t="s">
        <v>253</v>
      </c>
      <c r="B201" s="290"/>
      <c r="C201" s="289"/>
      <c r="D201" s="290"/>
      <c r="E201" s="289"/>
      <c r="F201" s="292"/>
      <c r="G201" s="293"/>
      <c r="H201" s="290"/>
    </row>
    <row r="202" spans="1:14" x14ac:dyDescent="0.35">
      <c r="A202" s="220">
        <f>+D98</f>
        <v>109</v>
      </c>
      <c r="C202" s="294" t="s">
        <v>254</v>
      </c>
      <c r="D202" s="294" t="s">
        <v>255</v>
      </c>
      <c r="E202" s="294" t="s">
        <v>256</v>
      </c>
      <c r="F202" s="294" t="s">
        <v>257</v>
      </c>
    </row>
    <row r="203" spans="1:14" x14ac:dyDescent="0.35">
      <c r="B203" s="295" t="s">
        <v>290</v>
      </c>
      <c r="C203" s="296">
        <v>46112</v>
      </c>
      <c r="D203" s="296">
        <v>46052</v>
      </c>
      <c r="E203" s="296">
        <v>45777</v>
      </c>
      <c r="F203" s="296">
        <v>45044</v>
      </c>
    </row>
    <row r="204" spans="1:14" x14ac:dyDescent="0.35">
      <c r="B204" s="295" t="s">
        <v>291</v>
      </c>
      <c r="C204" s="296">
        <v>46142</v>
      </c>
      <c r="D204" s="297">
        <f>+C204</f>
        <v>46142</v>
      </c>
      <c r="E204" s="297">
        <f t="shared" ref="E204:F204" si="128">+D204</f>
        <v>46142</v>
      </c>
      <c r="F204" s="297">
        <f t="shared" si="128"/>
        <v>46142</v>
      </c>
    </row>
    <row r="205" spans="1:14" x14ac:dyDescent="0.35">
      <c r="B205" s="211" t="s">
        <v>187</v>
      </c>
      <c r="C205" s="247">
        <f>+C204-C203</f>
        <v>30</v>
      </c>
      <c r="D205" s="247">
        <f t="shared" ref="D205:F205" si="129">+D204-D203</f>
        <v>90</v>
      </c>
      <c r="E205" s="247">
        <f t="shared" si="129"/>
        <v>365</v>
      </c>
      <c r="F205" s="247">
        <f t="shared" si="129"/>
        <v>1098</v>
      </c>
    </row>
    <row r="206" spans="1:14" x14ac:dyDescent="0.35">
      <c r="C206" s="234">
        <f t="shared" ref="C206:F207" si="130">VLOOKUP(C203,$A$5:$DZ$94,$A$202,0)</f>
        <v>1.365127</v>
      </c>
      <c r="D206" s="234">
        <f t="shared" si="130"/>
        <v>1.4239980000000001</v>
      </c>
      <c r="E206" s="234">
        <f t="shared" si="130"/>
        <v>1.224191</v>
      </c>
      <c r="F206" s="234">
        <f t="shared" si="130"/>
        <v>0.79898400000000003</v>
      </c>
    </row>
    <row r="207" spans="1:14" x14ac:dyDescent="0.35">
      <c r="C207" s="234">
        <f t="shared" si="130"/>
        <v>1.5378210000000001</v>
      </c>
      <c r="D207" s="234">
        <f t="shared" si="130"/>
        <v>1.5378210000000001</v>
      </c>
      <c r="E207" s="234">
        <f t="shared" si="130"/>
        <v>1.5378210000000001</v>
      </c>
      <c r="F207" s="234">
        <f t="shared" si="130"/>
        <v>1.5378210000000001</v>
      </c>
    </row>
    <row r="208" spans="1:14" x14ac:dyDescent="0.35">
      <c r="A208" s="298" t="str">
        <f>+B98</f>
        <v>MVFANG+ BF-1</v>
      </c>
      <c r="B208" s="299" t="str">
        <f>+C98</f>
        <v>Efectivo</v>
      </c>
      <c r="C208" s="300">
        <f>IF($B$208="Anualizado",(C207/C206-1)*(360/C$205),IF(B208="Anualizado Compuesto",((C207/C206)^(360/C205))-1,C207/C206-1))</f>
        <v>0.12650398094829285</v>
      </c>
      <c r="D208" s="300">
        <f>IF(D206=0," ",IF($B$208="Anualizado Compuesto",((D207/D206)^(360/D205))-1,IF($B$208="Anualizado",(D207/D206-1)*360/D205,D207/D206-1)))</f>
        <v>7.9931994286508878E-2</v>
      </c>
      <c r="E208" s="300">
        <f t="shared" ref="E208:F208" si="131">IF(E206=0," ",IF($B$208="Anualizado Compuesto",((E207/E206)^(360/E205))-1,IF($B$208="Anualizado",(E207/E206-1)*360/E205,E207/E206-1)))</f>
        <v>0.25619368219501704</v>
      </c>
      <c r="F208" s="300">
        <f t="shared" si="131"/>
        <v>0.92472064521942876</v>
      </c>
    </row>
  </sheetData>
  <sheetProtection algorithmName="SHA-512" hashValue="e+IQIselsEz0e3lXrK+RNFPzISvXHOkznzX5sfbXdZUP3FSUQc7iIzlE8TzoRNiajO7Kww/FqdPUHrZonhxkrg==" saltValue="1D4TkYA0PbWK6AGEv/e86Q==" spinCount="100000" sheet="1" objects="1" scenarios="1" selectLockedCells="1" selectUnlockedCells="1"/>
  <mergeCells count="1">
    <mergeCell ref="A185:N185"/>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4"/>
  <sheetViews>
    <sheetView topLeftCell="A126" workbookViewId="0">
      <pane ySplit="1" topLeftCell="A127" activePane="bottomLeft" state="frozen"/>
      <selection activeCell="A126" sqref="A126"/>
      <selection pane="bottomLeft" activeCell="A127" sqref="A127"/>
    </sheetView>
  </sheetViews>
  <sheetFormatPr baseColWidth="10" defaultColWidth="11.453125" defaultRowHeight="14.5" x14ac:dyDescent="0.35"/>
  <cols>
    <col min="1" max="1" width="18.453125" style="211" customWidth="1"/>
    <col min="2" max="2" width="17.1796875" style="211" bestFit="1" customWidth="1"/>
    <col min="3" max="3" width="22.7265625" style="211" bestFit="1" customWidth="1"/>
    <col min="4" max="4" width="16.54296875" style="211" bestFit="1" customWidth="1"/>
    <col min="5" max="5" width="14" style="211" bestFit="1" customWidth="1"/>
    <col min="6" max="6" width="25.1796875" style="211" bestFit="1" customWidth="1"/>
    <col min="7" max="8" width="11.453125" style="211"/>
    <col min="9" max="9" width="14.1796875" style="211" bestFit="1" customWidth="1"/>
    <col min="10" max="10" width="14.1796875" style="211" customWidth="1"/>
    <col min="11" max="11" width="14" style="211" bestFit="1" customWidth="1"/>
    <col min="12" max="12" width="13.7265625" style="211" bestFit="1" customWidth="1"/>
    <col min="13" max="13" width="50.7265625" style="211" bestFit="1" customWidth="1"/>
    <col min="14" max="14" width="11.453125" style="211"/>
    <col min="15" max="15" width="11.81640625" style="211" customWidth="1"/>
    <col min="16" max="16" width="10.81640625" style="211" customWidth="1"/>
    <col min="17" max="17" width="12.453125" style="211" customWidth="1"/>
    <col min="18" max="16384" width="11.453125" style="211"/>
  </cols>
  <sheetData>
    <row r="1" spans="1:18" x14ac:dyDescent="0.35">
      <c r="A1" s="220">
        <v>1</v>
      </c>
      <c r="B1" s="220">
        <v>2</v>
      </c>
      <c r="C1" s="220">
        <v>3</v>
      </c>
      <c r="D1" s="220">
        <v>4</v>
      </c>
      <c r="E1" s="220">
        <v>5</v>
      </c>
      <c r="F1" s="220">
        <v>6</v>
      </c>
      <c r="G1" s="220">
        <v>7</v>
      </c>
      <c r="H1" s="220">
        <v>8</v>
      </c>
      <c r="I1" s="220">
        <v>9</v>
      </c>
      <c r="J1" s="220">
        <v>10</v>
      </c>
      <c r="K1" s="220">
        <v>11</v>
      </c>
      <c r="L1" s="220">
        <v>12</v>
      </c>
      <c r="M1" s="220">
        <v>13</v>
      </c>
      <c r="N1" s="220">
        <v>14</v>
      </c>
      <c r="O1" s="220">
        <v>15</v>
      </c>
      <c r="P1" s="220">
        <v>16</v>
      </c>
      <c r="Q1" s="220">
        <v>17</v>
      </c>
      <c r="R1" s="220">
        <f t="shared" ref="R1" si="0">+Q1+1</f>
        <v>18</v>
      </c>
    </row>
    <row r="2" spans="1:18" ht="29" x14ac:dyDescent="0.35">
      <c r="A2" s="301" t="s">
        <v>25</v>
      </c>
      <c r="B2" s="301" t="s">
        <v>26</v>
      </c>
      <c r="C2" s="301" t="s">
        <v>126</v>
      </c>
      <c r="D2" s="301" t="s">
        <v>127</v>
      </c>
      <c r="E2" s="301" t="s">
        <v>29</v>
      </c>
      <c r="F2" s="301" t="s">
        <v>30</v>
      </c>
      <c r="G2" s="301" t="s">
        <v>31</v>
      </c>
      <c r="H2" s="302" t="s">
        <v>32</v>
      </c>
      <c r="I2" s="302" t="s">
        <v>33</v>
      </c>
      <c r="J2" s="302" t="s">
        <v>292</v>
      </c>
      <c r="K2" s="301" t="s">
        <v>39</v>
      </c>
      <c r="L2" s="301" t="s">
        <v>80</v>
      </c>
      <c r="M2" s="301" t="s">
        <v>133</v>
      </c>
      <c r="N2" s="303" t="s">
        <v>279</v>
      </c>
      <c r="O2" s="303" t="s">
        <v>289</v>
      </c>
      <c r="P2" s="303" t="s">
        <v>295</v>
      </c>
      <c r="Q2" s="303" t="s">
        <v>297</v>
      </c>
      <c r="R2" s="303" t="s">
        <v>296</v>
      </c>
    </row>
    <row r="3" spans="1:18" x14ac:dyDescent="0.35">
      <c r="A3" s="304">
        <v>1</v>
      </c>
      <c r="B3" s="304">
        <v>12</v>
      </c>
      <c r="C3" s="304">
        <v>6</v>
      </c>
      <c r="D3" s="304">
        <v>7</v>
      </c>
      <c r="E3" s="304">
        <v>8</v>
      </c>
      <c r="F3" s="304">
        <v>5</v>
      </c>
      <c r="G3" s="304">
        <v>4</v>
      </c>
      <c r="H3" s="304">
        <v>2</v>
      </c>
      <c r="I3" s="304">
        <v>11</v>
      </c>
      <c r="J3" s="304">
        <v>10</v>
      </c>
      <c r="K3" s="304"/>
      <c r="L3" s="304"/>
      <c r="M3" s="304">
        <v>14</v>
      </c>
      <c r="R3" s="304">
        <f>HLOOKUP(R2,[1]CATALOGO!$B$3:$P$4,2,0)</f>
        <v>15</v>
      </c>
    </row>
    <row r="4" spans="1:18" x14ac:dyDescent="0.35">
      <c r="A4" s="211" t="s">
        <v>128</v>
      </c>
      <c r="B4" s="211" t="s">
        <v>23</v>
      </c>
      <c r="C4" s="211" t="s">
        <v>301</v>
      </c>
      <c r="D4" s="211" t="s">
        <v>302</v>
      </c>
      <c r="E4" s="211" t="s">
        <v>303</v>
      </c>
      <c r="F4" s="211" t="s">
        <v>304</v>
      </c>
      <c r="G4" s="211" t="s">
        <v>305</v>
      </c>
      <c r="H4" s="305">
        <v>0.5625</v>
      </c>
      <c r="I4" s="211" t="s">
        <v>306</v>
      </c>
      <c r="J4" s="306">
        <v>1.5000000000000001E-2</v>
      </c>
      <c r="K4" s="211" t="s">
        <v>166</v>
      </c>
      <c r="L4" s="211" t="s">
        <v>23</v>
      </c>
      <c r="M4" s="211" t="s">
        <v>303</v>
      </c>
      <c r="N4" s="239">
        <v>44925</v>
      </c>
      <c r="O4" s="239">
        <v>45289</v>
      </c>
      <c r="P4" s="239">
        <v>45657</v>
      </c>
      <c r="Q4" s="239">
        <v>46022</v>
      </c>
      <c r="R4" s="306">
        <f>VLOOKUP($A4,[1]CATALOGO!$B$6:$P$182,R$3,0)</f>
        <v>1.5272792246062638E-2</v>
      </c>
    </row>
    <row r="5" spans="1:18" x14ac:dyDescent="0.35">
      <c r="A5" s="211" t="s">
        <v>129</v>
      </c>
      <c r="B5" s="211" t="s">
        <v>23</v>
      </c>
      <c r="C5" s="211" t="s">
        <v>301</v>
      </c>
      <c r="D5" s="211" t="s">
        <v>302</v>
      </c>
      <c r="E5" s="211" t="s">
        <v>303</v>
      </c>
      <c r="F5" s="211" t="s">
        <v>307</v>
      </c>
      <c r="G5" s="211" t="s">
        <v>305</v>
      </c>
      <c r="H5" s="305">
        <v>0.5625</v>
      </c>
      <c r="I5" s="211" t="s">
        <v>306</v>
      </c>
      <c r="J5" s="306">
        <v>1.2500000000000001E-2</v>
      </c>
      <c r="K5" s="211" t="s">
        <v>166</v>
      </c>
      <c r="L5" s="211" t="s">
        <v>23</v>
      </c>
      <c r="M5" s="211" t="s">
        <v>303</v>
      </c>
      <c r="N5" s="239">
        <v>44925</v>
      </c>
      <c r="O5" s="239">
        <v>45289</v>
      </c>
      <c r="P5" s="239">
        <v>45657</v>
      </c>
      <c r="Q5" s="239">
        <v>46022</v>
      </c>
      <c r="R5" s="306">
        <f>VLOOKUP($A5,[1]CATALOGO!$B$6:$P$182,R$3,0)</f>
        <v>1.2772792246062637E-2</v>
      </c>
    </row>
    <row r="6" spans="1:18" x14ac:dyDescent="0.35">
      <c r="A6" s="211" t="s">
        <v>130</v>
      </c>
      <c r="B6" s="211" t="s">
        <v>23</v>
      </c>
      <c r="C6" s="211" t="s">
        <v>301</v>
      </c>
      <c r="D6" s="211" t="s">
        <v>302</v>
      </c>
      <c r="E6" s="211" t="s">
        <v>303</v>
      </c>
      <c r="F6" s="211" t="s">
        <v>308</v>
      </c>
      <c r="G6" s="211" t="s">
        <v>305</v>
      </c>
      <c r="H6" s="305">
        <v>0.5625</v>
      </c>
      <c r="I6" s="211" t="s">
        <v>306</v>
      </c>
      <c r="J6" s="306">
        <v>9.9999999999999985E-3</v>
      </c>
      <c r="K6" s="211" t="s">
        <v>166</v>
      </c>
      <c r="L6" s="211" t="s">
        <v>23</v>
      </c>
      <c r="M6" s="211" t="s">
        <v>303</v>
      </c>
      <c r="N6" s="239">
        <v>44925</v>
      </c>
      <c r="O6" s="239">
        <v>45289</v>
      </c>
      <c r="P6" s="239">
        <v>45657</v>
      </c>
      <c r="Q6" s="239">
        <v>46022</v>
      </c>
      <c r="R6" s="306">
        <f>VLOOKUP($A6,[1]CATALOGO!$B$6:$P$182,R$3,0)</f>
        <v>1.0272792246062635E-2</v>
      </c>
    </row>
    <row r="7" spans="1:18" x14ac:dyDescent="0.35">
      <c r="A7" s="211" t="s">
        <v>165</v>
      </c>
      <c r="B7" s="211" t="s">
        <v>23</v>
      </c>
      <c r="C7" s="211" t="s">
        <v>309</v>
      </c>
      <c r="D7" s="211" t="s">
        <v>302</v>
      </c>
      <c r="E7" s="211" t="s">
        <v>303</v>
      </c>
      <c r="F7" s="211" t="s">
        <v>310</v>
      </c>
      <c r="G7" s="211" t="s">
        <v>305</v>
      </c>
      <c r="H7" s="305">
        <v>0.5625</v>
      </c>
      <c r="I7" s="211" t="s">
        <v>306</v>
      </c>
      <c r="J7" s="306">
        <v>7.4999999999999997E-3</v>
      </c>
      <c r="K7" s="211" t="s">
        <v>166</v>
      </c>
      <c r="L7" s="211" t="s">
        <v>23</v>
      </c>
      <c r="M7" s="211" t="s">
        <v>303</v>
      </c>
      <c r="N7" s="239">
        <v>44925</v>
      </c>
      <c r="O7" s="239">
        <v>45289</v>
      </c>
      <c r="P7" s="239">
        <v>45657</v>
      </c>
      <c r="Q7" s="239">
        <v>46022</v>
      </c>
      <c r="R7" s="306">
        <f>VLOOKUP($A7,[1]CATALOGO!$B$6:$P$182,R$3,0)</f>
        <v>7.7727922460626379E-3</v>
      </c>
    </row>
    <row r="8" spans="1:18" x14ac:dyDescent="0.35">
      <c r="A8" s="211" t="s">
        <v>131</v>
      </c>
      <c r="B8" s="211" t="s">
        <v>23</v>
      </c>
      <c r="C8" s="211" t="s">
        <v>301</v>
      </c>
      <c r="D8" s="211" t="s">
        <v>302</v>
      </c>
      <c r="E8" s="211" t="s">
        <v>303</v>
      </c>
      <c r="F8" s="211" t="s">
        <v>310</v>
      </c>
      <c r="G8" s="211" t="s">
        <v>305</v>
      </c>
      <c r="H8" s="305">
        <v>0.5625</v>
      </c>
      <c r="I8" s="211" t="s">
        <v>306</v>
      </c>
      <c r="J8" s="306">
        <v>7.4999999999999997E-3</v>
      </c>
      <c r="K8" s="211" t="s">
        <v>166</v>
      </c>
      <c r="L8" s="211" t="s">
        <v>23</v>
      </c>
      <c r="M8" s="211" t="s">
        <v>303</v>
      </c>
      <c r="N8" s="239">
        <v>44925</v>
      </c>
      <c r="O8" s="239">
        <v>45289</v>
      </c>
      <c r="P8" s="239">
        <v>45657</v>
      </c>
      <c r="Q8" s="239">
        <v>46022</v>
      </c>
      <c r="R8" s="306">
        <f>VLOOKUP($A8,[1]CATALOGO!$B$6:$P$182,R$3,0)</f>
        <v>7.7727922460626379E-3</v>
      </c>
    </row>
    <row r="9" spans="1:18" x14ac:dyDescent="0.35">
      <c r="A9" s="211" t="s">
        <v>146</v>
      </c>
      <c r="B9" s="211" t="s">
        <v>23</v>
      </c>
      <c r="C9" s="211" t="s">
        <v>311</v>
      </c>
      <c r="D9" s="211" t="s">
        <v>302</v>
      </c>
      <c r="E9" s="211" t="s">
        <v>303</v>
      </c>
      <c r="F9" s="211" t="s">
        <v>304</v>
      </c>
      <c r="G9" s="211" t="s">
        <v>305</v>
      </c>
      <c r="H9" s="305">
        <v>0.5625</v>
      </c>
      <c r="I9" s="211" t="s">
        <v>306</v>
      </c>
      <c r="J9" s="306">
        <v>2.5000000000000001E-3</v>
      </c>
      <c r="K9" s="211" t="s">
        <v>166</v>
      </c>
      <c r="L9" s="211" t="s">
        <v>23</v>
      </c>
      <c r="M9" s="211" t="s">
        <v>303</v>
      </c>
      <c r="N9" s="239">
        <v>44925</v>
      </c>
      <c r="O9" s="239">
        <v>45289</v>
      </c>
      <c r="P9" s="239">
        <v>45657</v>
      </c>
      <c r="Q9" s="239">
        <v>46022</v>
      </c>
      <c r="R9" s="306">
        <f>VLOOKUP($A9,[1]CATALOGO!$B$6:$P$182,R$3,0)</f>
        <v>2.7727922460626378E-3</v>
      </c>
    </row>
    <row r="10" spans="1:18" x14ac:dyDescent="0.35">
      <c r="A10" s="211" t="s">
        <v>162</v>
      </c>
      <c r="B10" s="211" t="s">
        <v>23</v>
      </c>
      <c r="C10" s="211" t="s">
        <v>312</v>
      </c>
      <c r="D10" s="211" t="s">
        <v>302</v>
      </c>
      <c r="E10" s="211" t="s">
        <v>303</v>
      </c>
      <c r="F10" s="211" t="s">
        <v>304</v>
      </c>
      <c r="G10" s="211" t="s">
        <v>305</v>
      </c>
      <c r="H10" s="305">
        <v>0.5625</v>
      </c>
      <c r="I10" s="211" t="s">
        <v>306</v>
      </c>
      <c r="J10" s="306">
        <v>7.4999999999999997E-3</v>
      </c>
      <c r="K10" s="211" t="s">
        <v>166</v>
      </c>
      <c r="L10" s="211" t="s">
        <v>23</v>
      </c>
      <c r="M10" s="211" t="s">
        <v>303</v>
      </c>
      <c r="N10" s="239">
        <v>44925</v>
      </c>
      <c r="O10" s="239">
        <v>45289</v>
      </c>
      <c r="P10" s="239">
        <v>45657</v>
      </c>
      <c r="Q10" s="239">
        <v>46022</v>
      </c>
      <c r="R10" s="306">
        <f>VLOOKUP($A10,[1]CATALOGO!$B$6:$P$182,R$3,0)</f>
        <v>7.7727922460626379E-3</v>
      </c>
    </row>
    <row r="11" spans="1:18" x14ac:dyDescent="0.35">
      <c r="A11" s="211" t="s">
        <v>147</v>
      </c>
      <c r="B11" s="211" t="s">
        <v>23</v>
      </c>
      <c r="C11" s="211" t="s">
        <v>309</v>
      </c>
      <c r="D11" s="211" t="s">
        <v>302</v>
      </c>
      <c r="E11" s="211" t="s">
        <v>303</v>
      </c>
      <c r="F11" s="211" t="s">
        <v>304</v>
      </c>
      <c r="G11" s="211" t="s">
        <v>305</v>
      </c>
      <c r="H11" s="305">
        <v>0.5625</v>
      </c>
      <c r="I11" s="211" t="s">
        <v>306</v>
      </c>
      <c r="J11" s="306">
        <v>1.5000000000000001E-2</v>
      </c>
      <c r="K11" s="211" t="s">
        <v>166</v>
      </c>
      <c r="L11" s="211" t="s">
        <v>23</v>
      </c>
      <c r="M11" s="211" t="s">
        <v>303</v>
      </c>
      <c r="N11" s="239">
        <v>44925</v>
      </c>
      <c r="O11" s="239">
        <v>45289</v>
      </c>
      <c r="P11" s="239">
        <v>45657</v>
      </c>
      <c r="Q11" s="239">
        <v>46022</v>
      </c>
      <c r="R11" s="306">
        <f>VLOOKUP($A11,[1]CATALOGO!$B$6:$P$182,R$3,0)</f>
        <v>1.5272792246062638E-2</v>
      </c>
    </row>
    <row r="12" spans="1:18" x14ac:dyDescent="0.35">
      <c r="A12" s="211" t="s">
        <v>148</v>
      </c>
      <c r="B12" s="211" t="s">
        <v>23</v>
      </c>
      <c r="C12" s="211" t="s">
        <v>313</v>
      </c>
      <c r="D12" s="211" t="s">
        <v>302</v>
      </c>
      <c r="E12" s="211" t="s">
        <v>303</v>
      </c>
      <c r="F12" s="211" t="s">
        <v>304</v>
      </c>
      <c r="G12" s="211" t="s">
        <v>305</v>
      </c>
      <c r="H12" s="305">
        <v>0.5625</v>
      </c>
      <c r="I12" s="211" t="s">
        <v>306</v>
      </c>
      <c r="J12" s="306">
        <v>7.4999999999999997E-3</v>
      </c>
      <c r="K12" s="211" t="s">
        <v>166</v>
      </c>
      <c r="L12" s="211" t="s">
        <v>23</v>
      </c>
      <c r="M12" s="211" t="s">
        <v>303</v>
      </c>
      <c r="N12" s="239">
        <v>44925</v>
      </c>
      <c r="O12" s="239">
        <v>45289</v>
      </c>
      <c r="P12" s="239">
        <v>45657</v>
      </c>
      <c r="Q12" s="239">
        <v>46022</v>
      </c>
      <c r="R12" s="306">
        <f>VLOOKUP($A12,[1]CATALOGO!$B$6:$P$182,R$3,0)</f>
        <v>7.7727922460626379E-3</v>
      </c>
    </row>
    <row r="13" spans="1:18" x14ac:dyDescent="0.35">
      <c r="A13" s="211" t="s">
        <v>149</v>
      </c>
      <c r="B13" s="211" t="s">
        <v>23</v>
      </c>
      <c r="C13" s="211" t="s">
        <v>314</v>
      </c>
      <c r="D13" s="211" t="s">
        <v>302</v>
      </c>
      <c r="E13" s="211" t="s">
        <v>303</v>
      </c>
      <c r="F13" s="211" t="s">
        <v>304</v>
      </c>
      <c r="G13" s="211" t="s">
        <v>305</v>
      </c>
      <c r="H13" s="305">
        <v>0.5625</v>
      </c>
      <c r="I13" s="211" t="s">
        <v>306</v>
      </c>
      <c r="J13" s="306">
        <v>7.4999999999999997E-3</v>
      </c>
      <c r="K13" s="211" t="s">
        <v>166</v>
      </c>
      <c r="L13" s="211" t="s">
        <v>23</v>
      </c>
      <c r="M13" s="211" t="s">
        <v>303</v>
      </c>
      <c r="N13" s="239">
        <v>44925</v>
      </c>
      <c r="O13" s="239">
        <v>45289</v>
      </c>
      <c r="P13" s="239">
        <v>45657</v>
      </c>
      <c r="Q13" s="239">
        <v>46022</v>
      </c>
      <c r="R13" s="306">
        <f>VLOOKUP($A13,[1]CATALOGO!$B$6:$P$182,R$3,0)</f>
        <v>7.7727922460626379E-3</v>
      </c>
    </row>
    <row r="14" spans="1:18" x14ac:dyDescent="0.35">
      <c r="A14" s="211" t="s">
        <v>0</v>
      </c>
      <c r="B14" s="211" t="s">
        <v>23</v>
      </c>
      <c r="C14" s="211" t="s">
        <v>312</v>
      </c>
      <c r="D14" s="211" t="s">
        <v>302</v>
      </c>
      <c r="E14" s="211" t="s">
        <v>315</v>
      </c>
      <c r="F14" s="211" t="s">
        <v>316</v>
      </c>
      <c r="G14" s="211" t="s">
        <v>317</v>
      </c>
      <c r="H14" s="305">
        <v>0.5625</v>
      </c>
      <c r="I14" s="211" t="s">
        <v>318</v>
      </c>
      <c r="J14" s="306">
        <v>1.2500000000000001E-2</v>
      </c>
      <c r="K14" s="211" t="s">
        <v>166</v>
      </c>
      <c r="L14" s="211" t="s">
        <v>23</v>
      </c>
      <c r="M14" s="211" t="s">
        <v>315</v>
      </c>
      <c r="N14" s="239">
        <v>44925</v>
      </c>
      <c r="O14" s="239">
        <v>45289</v>
      </c>
      <c r="P14" s="239">
        <v>45657</v>
      </c>
      <c r="Q14" s="239">
        <v>46022</v>
      </c>
      <c r="R14" s="306">
        <f>VLOOKUP($A14,[1]CATALOGO!$B$6:$P$182,R$3,0)</f>
        <v>1.3009699745488428E-2</v>
      </c>
    </row>
    <row r="15" spans="1:18" x14ac:dyDescent="0.35">
      <c r="A15" s="211" t="s">
        <v>1</v>
      </c>
      <c r="B15" s="211" t="s">
        <v>23</v>
      </c>
      <c r="C15" s="211" t="s">
        <v>301</v>
      </c>
      <c r="D15" s="211" t="s">
        <v>302</v>
      </c>
      <c r="E15" s="211" t="s">
        <v>315</v>
      </c>
      <c r="F15" s="211" t="s">
        <v>316</v>
      </c>
      <c r="G15" s="211" t="s">
        <v>317</v>
      </c>
      <c r="H15" s="305">
        <v>0.5625</v>
      </c>
      <c r="I15" s="211" t="s">
        <v>318</v>
      </c>
      <c r="J15" s="306">
        <v>1.2500000000000001E-2</v>
      </c>
      <c r="K15" s="211" t="s">
        <v>166</v>
      </c>
      <c r="L15" s="211" t="s">
        <v>23</v>
      </c>
      <c r="M15" s="211" t="s">
        <v>315</v>
      </c>
      <c r="N15" s="239">
        <v>44925</v>
      </c>
      <c r="O15" s="239">
        <v>45289</v>
      </c>
      <c r="P15" s="239">
        <v>45657</v>
      </c>
      <c r="Q15" s="239">
        <v>46022</v>
      </c>
      <c r="R15" s="306">
        <f>VLOOKUP($A15,[1]CATALOGO!$B$6:$P$182,R$3,0)</f>
        <v>1.3009699745488428E-2</v>
      </c>
    </row>
    <row r="16" spans="1:18" x14ac:dyDescent="0.35">
      <c r="A16" s="211" t="s">
        <v>2</v>
      </c>
      <c r="B16" s="211" t="s">
        <v>23</v>
      </c>
      <c r="C16" s="211" t="s">
        <v>313</v>
      </c>
      <c r="D16" s="211" t="s">
        <v>302</v>
      </c>
      <c r="E16" s="211" t="s">
        <v>315</v>
      </c>
      <c r="F16" s="211" t="s">
        <v>316</v>
      </c>
      <c r="G16" s="211" t="s">
        <v>317</v>
      </c>
      <c r="H16" s="305">
        <v>0.5625</v>
      </c>
      <c r="I16" s="211" t="s">
        <v>318</v>
      </c>
      <c r="J16" s="306">
        <v>1.2500000000000001E-2</v>
      </c>
      <c r="K16" s="211" t="s">
        <v>166</v>
      </c>
      <c r="L16" s="211" t="s">
        <v>23</v>
      </c>
      <c r="M16" s="211" t="s">
        <v>315</v>
      </c>
      <c r="N16" s="239">
        <v>44925</v>
      </c>
      <c r="O16" s="239">
        <v>45289</v>
      </c>
      <c r="P16" s="239">
        <v>45657</v>
      </c>
      <c r="Q16" s="239">
        <v>46022</v>
      </c>
      <c r="R16" s="306">
        <f>VLOOKUP($A16,[1]CATALOGO!$B$6:$P$182,R$3,0)</f>
        <v>1.3009699745488428E-2</v>
      </c>
    </row>
    <row r="17" spans="1:18" x14ac:dyDescent="0.35">
      <c r="A17" s="211" t="s">
        <v>150</v>
      </c>
      <c r="B17" s="211" t="s">
        <v>23</v>
      </c>
      <c r="C17" s="211" t="s">
        <v>314</v>
      </c>
      <c r="D17" s="211" t="s">
        <v>302</v>
      </c>
      <c r="E17" s="211" t="s">
        <v>315</v>
      </c>
      <c r="F17" s="211" t="s">
        <v>316</v>
      </c>
      <c r="G17" s="211" t="s">
        <v>317</v>
      </c>
      <c r="H17" s="305">
        <v>0.5625</v>
      </c>
      <c r="I17" s="211" t="s">
        <v>318</v>
      </c>
      <c r="J17" s="306">
        <v>1.2500000000000001E-2</v>
      </c>
      <c r="K17" s="211" t="s">
        <v>166</v>
      </c>
      <c r="L17" s="211" t="s">
        <v>23</v>
      </c>
      <c r="M17" s="211" t="s">
        <v>315</v>
      </c>
      <c r="N17" s="239">
        <v>44925</v>
      </c>
      <c r="O17" s="239">
        <v>45289</v>
      </c>
      <c r="P17" s="239">
        <v>45657</v>
      </c>
      <c r="Q17" s="239">
        <v>46022</v>
      </c>
      <c r="R17" s="306">
        <f>VLOOKUP($A17,[1]CATALOGO!$B$6:$P$182,R$3,0)</f>
        <v>1.3009699745488428E-2</v>
      </c>
    </row>
    <row r="18" spans="1:18" x14ac:dyDescent="0.35">
      <c r="A18" s="211" t="s">
        <v>151</v>
      </c>
      <c r="B18" s="211" t="s">
        <v>23</v>
      </c>
      <c r="C18" s="211" t="s">
        <v>311</v>
      </c>
      <c r="D18" s="211" t="s">
        <v>302</v>
      </c>
      <c r="E18" s="211" t="s">
        <v>315</v>
      </c>
      <c r="F18" s="211" t="s">
        <v>316</v>
      </c>
      <c r="G18" s="211" t="s">
        <v>317</v>
      </c>
      <c r="H18" s="305">
        <v>0.5625</v>
      </c>
      <c r="I18" s="211" t="s">
        <v>318</v>
      </c>
      <c r="J18" s="306">
        <v>2.5000000000000001E-3</v>
      </c>
      <c r="K18" s="211" t="s">
        <v>166</v>
      </c>
      <c r="L18" s="211" t="s">
        <v>23</v>
      </c>
      <c r="M18" s="211" t="s">
        <v>315</v>
      </c>
      <c r="N18" s="239">
        <v>44925</v>
      </c>
      <c r="O18" s="239">
        <v>45289</v>
      </c>
      <c r="P18" s="239">
        <v>45657</v>
      </c>
      <c r="Q18" s="239">
        <v>46022</v>
      </c>
      <c r="R18" s="306">
        <f>VLOOKUP($A18,[1]CATALOGO!$B$6:$P$182,R$3,0)</f>
        <v>3.009699745488426E-3</v>
      </c>
    </row>
    <row r="19" spans="1:18" x14ac:dyDescent="0.35">
      <c r="A19" s="211" t="s">
        <v>152</v>
      </c>
      <c r="B19" s="211" t="s">
        <v>23</v>
      </c>
      <c r="C19" s="211" t="s">
        <v>309</v>
      </c>
      <c r="D19" s="211" t="s">
        <v>302</v>
      </c>
      <c r="E19" s="211" t="s">
        <v>315</v>
      </c>
      <c r="F19" s="211" t="s">
        <v>316</v>
      </c>
      <c r="G19" s="211" t="s">
        <v>317</v>
      </c>
      <c r="H19" s="305">
        <v>0.5625</v>
      </c>
      <c r="I19" s="211" t="s">
        <v>318</v>
      </c>
      <c r="J19" s="306">
        <v>1.2500000000000001E-2</v>
      </c>
      <c r="K19" s="211" t="s">
        <v>166</v>
      </c>
      <c r="L19" s="211" t="s">
        <v>23</v>
      </c>
      <c r="M19" s="211" t="s">
        <v>315</v>
      </c>
      <c r="N19" s="239">
        <v>44925</v>
      </c>
      <c r="O19" s="239">
        <v>45289</v>
      </c>
      <c r="P19" s="239">
        <v>45657</v>
      </c>
      <c r="Q19" s="239">
        <v>46022</v>
      </c>
      <c r="R19" s="306">
        <f>VLOOKUP($A19,[1]CATALOGO!$B$6:$P$182,R$3,0)</f>
        <v>1.3009699745488428E-2</v>
      </c>
    </row>
    <row r="20" spans="1:18" x14ac:dyDescent="0.35">
      <c r="A20" s="211" t="s">
        <v>298</v>
      </c>
      <c r="B20" s="211" t="s">
        <v>23</v>
      </c>
      <c r="C20" s="211" t="s">
        <v>312</v>
      </c>
      <c r="D20" s="307">
        <v>1000000</v>
      </c>
      <c r="E20" s="211" t="s">
        <v>303</v>
      </c>
      <c r="F20" s="211" t="s">
        <v>304</v>
      </c>
      <c r="G20" s="211" t="s">
        <v>305</v>
      </c>
      <c r="H20" s="305">
        <v>0.5625</v>
      </c>
      <c r="I20" s="211" t="s">
        <v>306</v>
      </c>
      <c r="J20" s="306">
        <v>2.5000000000000001E-2</v>
      </c>
      <c r="K20" s="211" t="s">
        <v>40</v>
      </c>
      <c r="L20" s="211" t="s">
        <v>23</v>
      </c>
      <c r="M20" s="211" t="s">
        <v>319</v>
      </c>
      <c r="N20" s="238">
        <v>0</v>
      </c>
      <c r="O20" s="239">
        <v>45322</v>
      </c>
      <c r="P20" s="239">
        <v>45657</v>
      </c>
      <c r="Q20" s="239">
        <v>46022</v>
      </c>
      <c r="R20" s="306">
        <f>VLOOKUP($A20,[1]CATALOGO!$B$6:$P$182,R$3,0)</f>
        <v>2.5273392413767925E-2</v>
      </c>
    </row>
    <row r="21" spans="1:18" x14ac:dyDescent="0.35">
      <c r="A21" s="211" t="s">
        <v>3</v>
      </c>
      <c r="B21" s="211" t="s">
        <v>23</v>
      </c>
      <c r="C21" s="211" t="s">
        <v>312</v>
      </c>
      <c r="D21" s="211" t="s">
        <v>302</v>
      </c>
      <c r="E21" s="211" t="s">
        <v>303</v>
      </c>
      <c r="F21" s="211" t="s">
        <v>304</v>
      </c>
      <c r="G21" s="211" t="s">
        <v>305</v>
      </c>
      <c r="H21" s="305">
        <v>0.5625</v>
      </c>
      <c r="I21" s="211" t="s">
        <v>306</v>
      </c>
      <c r="J21" s="306">
        <v>1.5000000000000001E-2</v>
      </c>
      <c r="K21" s="211" t="s">
        <v>40</v>
      </c>
      <c r="L21" s="211" t="s">
        <v>23</v>
      </c>
      <c r="M21" s="211" t="s">
        <v>319</v>
      </c>
      <c r="N21" s="239">
        <v>44925</v>
      </c>
      <c r="O21" s="239">
        <v>45289</v>
      </c>
      <c r="P21" s="239">
        <v>45657</v>
      </c>
      <c r="Q21" s="239">
        <v>46022</v>
      </c>
      <c r="R21" s="306">
        <f>VLOOKUP($A21,[1]CATALOGO!$B$6:$P$182,R$3,0)</f>
        <v>1.5273392413767926E-2</v>
      </c>
    </row>
    <row r="22" spans="1:18" x14ac:dyDescent="0.35">
      <c r="A22" s="211" t="s">
        <v>194</v>
      </c>
      <c r="B22" s="211" t="s">
        <v>23</v>
      </c>
      <c r="C22" s="211" t="s">
        <v>312</v>
      </c>
      <c r="D22" s="307">
        <v>10000000</v>
      </c>
      <c r="E22" s="211" t="s">
        <v>303</v>
      </c>
      <c r="F22" s="211" t="s">
        <v>304</v>
      </c>
      <c r="G22" s="211" t="s">
        <v>305</v>
      </c>
      <c r="H22" s="305">
        <v>0.5625</v>
      </c>
      <c r="I22" s="211" t="s">
        <v>306</v>
      </c>
      <c r="J22" s="306">
        <v>2.5000000000000001E-3</v>
      </c>
      <c r="K22" s="211" t="s">
        <v>40</v>
      </c>
      <c r="L22" s="211" t="s">
        <v>23</v>
      </c>
      <c r="M22" s="211" t="s">
        <v>319</v>
      </c>
      <c r="N22" s="239">
        <v>44925</v>
      </c>
      <c r="O22" s="239">
        <v>45289</v>
      </c>
      <c r="P22" s="239">
        <v>45657</v>
      </c>
      <c r="Q22" s="239">
        <v>46022</v>
      </c>
      <c r="R22" s="306">
        <f>VLOOKUP($A22,[1]CATALOGO!$B$6:$P$182,R$3,0)</f>
        <v>2.7733924137679261E-3</v>
      </c>
    </row>
    <row r="23" spans="1:18" x14ac:dyDescent="0.35">
      <c r="A23" s="211" t="s">
        <v>4</v>
      </c>
      <c r="B23" s="211" t="s">
        <v>23</v>
      </c>
      <c r="C23" s="211" t="s">
        <v>301</v>
      </c>
      <c r="D23" s="211" t="s">
        <v>302</v>
      </c>
      <c r="E23" s="211" t="s">
        <v>303</v>
      </c>
      <c r="F23" s="211" t="s">
        <v>304</v>
      </c>
      <c r="G23" s="211" t="s">
        <v>305</v>
      </c>
      <c r="H23" s="305">
        <v>0.5625</v>
      </c>
      <c r="I23" s="211" t="s">
        <v>306</v>
      </c>
      <c r="J23" s="306">
        <v>1.5000000000000001E-2</v>
      </c>
      <c r="K23" s="211" t="s">
        <v>40</v>
      </c>
      <c r="L23" s="211" t="s">
        <v>23</v>
      </c>
      <c r="M23" s="211" t="s">
        <v>319</v>
      </c>
      <c r="N23" s="239">
        <v>44925</v>
      </c>
      <c r="O23" s="239">
        <v>45289</v>
      </c>
      <c r="P23" s="239">
        <v>45657</v>
      </c>
      <c r="Q23" s="239">
        <v>46022</v>
      </c>
      <c r="R23" s="306">
        <f>VLOOKUP($A23,[1]CATALOGO!$B$6:$P$182,R$3,0)</f>
        <v>1.5273392413767926E-2</v>
      </c>
    </row>
    <row r="24" spans="1:18" x14ac:dyDescent="0.35">
      <c r="A24" s="211" t="s">
        <v>5</v>
      </c>
      <c r="B24" s="211" t="s">
        <v>23</v>
      </c>
      <c r="C24" s="211" t="s">
        <v>313</v>
      </c>
      <c r="D24" s="211" t="s">
        <v>302</v>
      </c>
      <c r="E24" s="211" t="s">
        <v>303</v>
      </c>
      <c r="F24" s="211" t="s">
        <v>304</v>
      </c>
      <c r="G24" s="211" t="s">
        <v>305</v>
      </c>
      <c r="H24" s="305">
        <v>0.5625</v>
      </c>
      <c r="I24" s="211" t="s">
        <v>306</v>
      </c>
      <c r="J24" s="306">
        <v>7.4999999999999997E-3</v>
      </c>
      <c r="K24" s="211" t="s">
        <v>40</v>
      </c>
      <c r="L24" s="211" t="s">
        <v>23</v>
      </c>
      <c r="M24" s="211" t="s">
        <v>319</v>
      </c>
      <c r="N24" s="239">
        <v>44925</v>
      </c>
      <c r="O24" s="239">
        <v>45289</v>
      </c>
      <c r="P24" s="239">
        <v>45657</v>
      </c>
      <c r="Q24" s="239">
        <v>46022</v>
      </c>
      <c r="R24" s="306">
        <f>VLOOKUP($A24,[1]CATALOGO!$B$6:$P$182,R$3,0)</f>
        <v>7.7733924137679267E-3</v>
      </c>
    </row>
    <row r="25" spans="1:18" x14ac:dyDescent="0.35">
      <c r="A25" s="211" t="s">
        <v>195</v>
      </c>
      <c r="B25" s="211" t="s">
        <v>23</v>
      </c>
      <c r="C25" s="211" t="s">
        <v>313</v>
      </c>
      <c r="D25" s="307">
        <v>10000000</v>
      </c>
      <c r="E25" s="211" t="s">
        <v>303</v>
      </c>
      <c r="F25" s="211" t="s">
        <v>304</v>
      </c>
      <c r="G25" s="211" t="s">
        <v>305</v>
      </c>
      <c r="H25" s="305">
        <v>0.5625</v>
      </c>
      <c r="I25" s="211" t="s">
        <v>306</v>
      </c>
      <c r="J25" s="306">
        <v>2.5000000000000001E-3</v>
      </c>
      <c r="K25" s="211" t="s">
        <v>40</v>
      </c>
      <c r="L25" s="211" t="s">
        <v>23</v>
      </c>
      <c r="M25" s="211" t="s">
        <v>319</v>
      </c>
      <c r="N25" s="239">
        <v>44925</v>
      </c>
      <c r="O25" s="239">
        <v>45289</v>
      </c>
      <c r="P25" s="239">
        <v>45657</v>
      </c>
      <c r="Q25" s="239">
        <v>46022</v>
      </c>
      <c r="R25" s="306">
        <f>VLOOKUP($A25,[1]CATALOGO!$B$6:$P$182,R$3,0)</f>
        <v>2.7733924137679261E-3</v>
      </c>
    </row>
    <row r="26" spans="1:18" x14ac:dyDescent="0.35">
      <c r="A26" s="211" t="s">
        <v>153</v>
      </c>
      <c r="B26" s="211" t="s">
        <v>23</v>
      </c>
      <c r="C26" s="211" t="s">
        <v>311</v>
      </c>
      <c r="D26" s="211" t="s">
        <v>302</v>
      </c>
      <c r="E26" s="211" t="s">
        <v>303</v>
      </c>
      <c r="F26" s="211" t="s">
        <v>304</v>
      </c>
      <c r="G26" s="211" t="s">
        <v>305</v>
      </c>
      <c r="H26" s="305">
        <v>0.5625</v>
      </c>
      <c r="I26" s="211" t="s">
        <v>306</v>
      </c>
      <c r="J26" s="306">
        <v>2.5000000000000001E-3</v>
      </c>
      <c r="K26" s="211" t="s">
        <v>40</v>
      </c>
      <c r="L26" s="211" t="s">
        <v>23</v>
      </c>
      <c r="M26" s="211" t="s">
        <v>319</v>
      </c>
      <c r="N26" s="239">
        <v>44925</v>
      </c>
      <c r="O26" s="239">
        <v>45289</v>
      </c>
      <c r="P26" s="239">
        <v>45657</v>
      </c>
      <c r="Q26" s="239">
        <v>46022</v>
      </c>
      <c r="R26" s="306">
        <f>VLOOKUP($A26,[1]CATALOGO!$B$6:$P$182,R$3,0)</f>
        <v>2.7733924137679261E-3</v>
      </c>
    </row>
    <row r="27" spans="1:18" x14ac:dyDescent="0.35">
      <c r="A27" s="211" t="s">
        <v>154</v>
      </c>
      <c r="B27" s="211" t="s">
        <v>23</v>
      </c>
      <c r="C27" s="211" t="s">
        <v>309</v>
      </c>
      <c r="D27" s="211" t="s">
        <v>302</v>
      </c>
      <c r="E27" s="211" t="s">
        <v>303</v>
      </c>
      <c r="F27" s="211" t="s">
        <v>304</v>
      </c>
      <c r="G27" s="211" t="s">
        <v>305</v>
      </c>
      <c r="H27" s="305">
        <v>0.5625</v>
      </c>
      <c r="I27" s="211" t="s">
        <v>306</v>
      </c>
      <c r="J27" s="306">
        <v>1.5000000000000001E-2</v>
      </c>
      <c r="K27" s="211" t="s">
        <v>40</v>
      </c>
      <c r="L27" s="211" t="s">
        <v>23</v>
      </c>
      <c r="M27" s="211" t="s">
        <v>319</v>
      </c>
      <c r="N27" s="239">
        <v>44925</v>
      </c>
      <c r="O27" s="239">
        <v>45289</v>
      </c>
      <c r="P27" s="239">
        <v>45657</v>
      </c>
      <c r="Q27" s="239">
        <v>46022</v>
      </c>
      <c r="R27" s="306">
        <f>VLOOKUP($A27,[1]CATALOGO!$B$6:$P$182,R$3,0)</f>
        <v>1.5273392413767926E-2</v>
      </c>
    </row>
    <row r="28" spans="1:18" x14ac:dyDescent="0.35">
      <c r="A28" s="211" t="s">
        <v>155</v>
      </c>
      <c r="B28" s="211" t="s">
        <v>23</v>
      </c>
      <c r="C28" s="211" t="s">
        <v>314</v>
      </c>
      <c r="D28" s="211" t="s">
        <v>302</v>
      </c>
      <c r="E28" s="211" t="s">
        <v>303</v>
      </c>
      <c r="F28" s="211" t="s">
        <v>304</v>
      </c>
      <c r="G28" s="211" t="s">
        <v>305</v>
      </c>
      <c r="H28" s="305">
        <v>0.5625</v>
      </c>
      <c r="I28" s="211" t="s">
        <v>306</v>
      </c>
      <c r="J28" s="306">
        <v>7.4999999999999997E-3</v>
      </c>
      <c r="K28" s="211" t="s">
        <v>40</v>
      </c>
      <c r="L28" s="211" t="s">
        <v>23</v>
      </c>
      <c r="M28" s="211" t="s">
        <v>319</v>
      </c>
      <c r="N28" s="239">
        <v>44925</v>
      </c>
      <c r="O28" s="239">
        <v>45289</v>
      </c>
      <c r="P28" s="239">
        <v>45657</v>
      </c>
      <c r="Q28" s="239">
        <v>46022</v>
      </c>
      <c r="R28" s="306">
        <f>VLOOKUP($A28,[1]CATALOGO!$B$6:$P$182,R$3,0)</f>
        <v>7.7733924137679267E-3</v>
      </c>
    </row>
    <row r="29" spans="1:18" x14ac:dyDescent="0.35">
      <c r="A29" s="211" t="s">
        <v>6</v>
      </c>
      <c r="B29" s="211" t="s">
        <v>23</v>
      </c>
      <c r="C29" s="211" t="s">
        <v>312</v>
      </c>
      <c r="D29" s="211" t="s">
        <v>302</v>
      </c>
      <c r="E29" s="211" t="s">
        <v>303</v>
      </c>
      <c r="F29" s="211" t="s">
        <v>304</v>
      </c>
      <c r="G29" s="211" t="s">
        <v>305</v>
      </c>
      <c r="H29" s="305">
        <v>0.5625</v>
      </c>
      <c r="I29" s="211" t="s">
        <v>306</v>
      </c>
      <c r="J29" s="306">
        <v>1.2500000000000001E-2</v>
      </c>
      <c r="K29" s="211" t="s">
        <v>44</v>
      </c>
      <c r="L29" s="211" t="s">
        <v>23</v>
      </c>
      <c r="M29" s="211" t="s">
        <v>303</v>
      </c>
      <c r="N29" s="239">
        <v>44925</v>
      </c>
      <c r="O29" s="239">
        <v>45289</v>
      </c>
      <c r="P29" s="239">
        <v>45657</v>
      </c>
      <c r="Q29" s="239">
        <v>46022</v>
      </c>
      <c r="R29" s="306">
        <f>VLOOKUP($A29,[1]CATALOGO!$B$6:$P$182,R$3,0)</f>
        <v>1.2775053467502247E-2</v>
      </c>
    </row>
    <row r="30" spans="1:18" x14ac:dyDescent="0.35">
      <c r="A30" s="211" t="s">
        <v>7</v>
      </c>
      <c r="B30" s="211" t="s">
        <v>23</v>
      </c>
      <c r="C30" s="211" t="s">
        <v>312</v>
      </c>
      <c r="D30" s="307">
        <v>3000000</v>
      </c>
      <c r="E30" s="211" t="s">
        <v>303</v>
      </c>
      <c r="F30" s="211" t="s">
        <v>304</v>
      </c>
      <c r="G30" s="211" t="s">
        <v>305</v>
      </c>
      <c r="H30" s="305">
        <v>0.5625</v>
      </c>
      <c r="I30" s="211" t="s">
        <v>306</v>
      </c>
      <c r="J30" s="306">
        <v>9.9999999999999985E-3</v>
      </c>
      <c r="K30" s="211" t="s">
        <v>44</v>
      </c>
      <c r="L30" s="211" t="s">
        <v>23</v>
      </c>
      <c r="M30" s="211" t="s">
        <v>303</v>
      </c>
      <c r="N30" s="239">
        <v>44925</v>
      </c>
      <c r="O30" s="239">
        <v>45289</v>
      </c>
      <c r="P30" s="239">
        <v>45657</v>
      </c>
      <c r="Q30" s="239">
        <v>46022</v>
      </c>
      <c r="R30" s="306">
        <f>VLOOKUP($A30,[1]CATALOGO!$B$6:$P$182,R$3,0)</f>
        <v>1.0275053467502245E-2</v>
      </c>
    </row>
    <row r="31" spans="1:18" x14ac:dyDescent="0.35">
      <c r="A31" s="211" t="s">
        <v>8</v>
      </c>
      <c r="B31" s="211" t="s">
        <v>23</v>
      </c>
      <c r="C31" s="211" t="s">
        <v>301</v>
      </c>
      <c r="D31" s="211" t="s">
        <v>302</v>
      </c>
      <c r="E31" s="211" t="s">
        <v>303</v>
      </c>
      <c r="F31" s="211" t="s">
        <v>304</v>
      </c>
      <c r="G31" s="211" t="s">
        <v>305</v>
      </c>
      <c r="H31" s="305">
        <v>0.5625</v>
      </c>
      <c r="I31" s="211" t="s">
        <v>306</v>
      </c>
      <c r="J31" s="306">
        <v>1.9999999999999997E-2</v>
      </c>
      <c r="K31" s="211" t="s">
        <v>44</v>
      </c>
      <c r="L31" s="211" t="s">
        <v>23</v>
      </c>
      <c r="M31" s="211" t="s">
        <v>303</v>
      </c>
      <c r="N31" s="239">
        <v>44925</v>
      </c>
      <c r="O31" s="239">
        <v>45289</v>
      </c>
      <c r="P31" s="239">
        <v>45657</v>
      </c>
      <c r="Q31" s="239">
        <v>46022</v>
      </c>
      <c r="R31" s="306">
        <f>VLOOKUP($A31,[1]CATALOGO!$B$6:$P$182,R$3,0)</f>
        <v>2.0275053467502243E-2</v>
      </c>
    </row>
    <row r="32" spans="1:18" x14ac:dyDescent="0.35">
      <c r="A32" s="211" t="s">
        <v>9</v>
      </c>
      <c r="B32" s="211" t="s">
        <v>23</v>
      </c>
      <c r="C32" s="211" t="s">
        <v>301</v>
      </c>
      <c r="D32" s="307">
        <v>3000000</v>
      </c>
      <c r="E32" s="211" t="s">
        <v>303</v>
      </c>
      <c r="F32" s="211" t="s">
        <v>304</v>
      </c>
      <c r="G32" s="211" t="s">
        <v>305</v>
      </c>
      <c r="H32" s="305">
        <v>0.5625</v>
      </c>
      <c r="I32" s="211" t="s">
        <v>306</v>
      </c>
      <c r="J32" s="306">
        <v>1.5000000000000001E-2</v>
      </c>
      <c r="K32" s="211" t="s">
        <v>44</v>
      </c>
      <c r="L32" s="211" t="s">
        <v>23</v>
      </c>
      <c r="M32" s="211" t="s">
        <v>303</v>
      </c>
      <c r="N32" s="239">
        <v>44925</v>
      </c>
      <c r="O32" s="239">
        <v>45289</v>
      </c>
      <c r="P32" s="239">
        <v>45657</v>
      </c>
      <c r="Q32" s="239">
        <v>46022</v>
      </c>
      <c r="R32" s="306">
        <f>VLOOKUP($A32,[1]CATALOGO!$B$6:$P$182,R$3,0)</f>
        <v>1.5275053467502247E-2</v>
      </c>
    </row>
    <row r="33" spans="1:18" x14ac:dyDescent="0.35">
      <c r="A33" s="211" t="s">
        <v>10</v>
      </c>
      <c r="B33" s="211" t="s">
        <v>23</v>
      </c>
      <c r="C33" s="211" t="s">
        <v>313</v>
      </c>
      <c r="D33" s="211" t="s">
        <v>302</v>
      </c>
      <c r="E33" s="211" t="s">
        <v>303</v>
      </c>
      <c r="F33" s="211" t="s">
        <v>304</v>
      </c>
      <c r="G33" s="211" t="s">
        <v>305</v>
      </c>
      <c r="H33" s="305">
        <v>0.5625</v>
      </c>
      <c r="I33" s="211" t="s">
        <v>306</v>
      </c>
      <c r="J33" s="306">
        <v>1.7500000000000002E-2</v>
      </c>
      <c r="K33" s="211" t="s">
        <v>44</v>
      </c>
      <c r="L33" s="211" t="s">
        <v>23</v>
      </c>
      <c r="M33" s="211" t="s">
        <v>303</v>
      </c>
      <c r="N33" s="239">
        <v>44925</v>
      </c>
      <c r="O33" s="239">
        <v>45289</v>
      </c>
      <c r="P33" s="239">
        <v>45657</v>
      </c>
      <c r="Q33" s="239">
        <v>46022</v>
      </c>
      <c r="R33" s="306">
        <f>VLOOKUP($A33,[1]CATALOGO!$B$6:$P$182,R$3,0)</f>
        <v>1.7775053467502248E-2</v>
      </c>
    </row>
    <row r="34" spans="1:18" x14ac:dyDescent="0.35">
      <c r="A34" s="211" t="s">
        <v>11</v>
      </c>
      <c r="B34" s="211" t="s">
        <v>23</v>
      </c>
      <c r="C34" s="211" t="s">
        <v>313</v>
      </c>
      <c r="D34" s="307">
        <v>3000000</v>
      </c>
      <c r="E34" s="211" t="s">
        <v>303</v>
      </c>
      <c r="F34" s="211" t="s">
        <v>304</v>
      </c>
      <c r="G34" s="211" t="s">
        <v>305</v>
      </c>
      <c r="H34" s="305">
        <v>0.5625</v>
      </c>
      <c r="I34" s="211" t="s">
        <v>306</v>
      </c>
      <c r="J34" s="306">
        <v>9.9999999999999985E-3</v>
      </c>
      <c r="K34" s="211" t="s">
        <v>44</v>
      </c>
      <c r="L34" s="211" t="s">
        <v>23</v>
      </c>
      <c r="M34" s="211" t="s">
        <v>303</v>
      </c>
      <c r="N34" s="239">
        <v>44925</v>
      </c>
      <c r="O34" s="239">
        <v>45289</v>
      </c>
      <c r="P34" s="239">
        <v>45657</v>
      </c>
      <c r="Q34" s="239">
        <v>46022</v>
      </c>
      <c r="R34" s="306">
        <f>VLOOKUP($A34,[1]CATALOGO!$B$6:$P$182,R$3,0)</f>
        <v>1.0275053467502245E-2</v>
      </c>
    </row>
    <row r="35" spans="1:18" x14ac:dyDescent="0.35">
      <c r="A35" s="211" t="s">
        <v>156</v>
      </c>
      <c r="B35" s="211" t="s">
        <v>23</v>
      </c>
      <c r="C35" s="211" t="s">
        <v>311</v>
      </c>
      <c r="D35" s="307" t="s">
        <v>302</v>
      </c>
      <c r="E35" s="211" t="s">
        <v>303</v>
      </c>
      <c r="F35" s="211" t="s">
        <v>304</v>
      </c>
      <c r="G35" s="211" t="s">
        <v>305</v>
      </c>
      <c r="H35" s="305">
        <v>0.5625</v>
      </c>
      <c r="I35" s="211" t="s">
        <v>306</v>
      </c>
      <c r="J35" s="306">
        <v>2.5000000000000001E-3</v>
      </c>
      <c r="K35" s="211" t="s">
        <v>44</v>
      </c>
      <c r="L35" s="211" t="s">
        <v>23</v>
      </c>
      <c r="M35" s="211" t="s">
        <v>303</v>
      </c>
      <c r="N35" s="239">
        <v>44925</v>
      </c>
      <c r="O35" s="239">
        <v>45289</v>
      </c>
      <c r="P35" s="239">
        <v>45657</v>
      </c>
      <c r="Q35" s="239">
        <v>46022</v>
      </c>
      <c r="R35" s="306">
        <f>VLOOKUP($A35,[1]CATALOGO!$B$6:$P$182,R$3,0)</f>
        <v>2.7750534675022474E-3</v>
      </c>
    </row>
    <row r="36" spans="1:18" x14ac:dyDescent="0.35">
      <c r="A36" s="211" t="s">
        <v>157</v>
      </c>
      <c r="B36" s="211" t="s">
        <v>23</v>
      </c>
      <c r="C36" s="211" t="s">
        <v>309</v>
      </c>
      <c r="D36" s="307" t="s">
        <v>302</v>
      </c>
      <c r="E36" s="211" t="s">
        <v>303</v>
      </c>
      <c r="F36" s="211" t="s">
        <v>304</v>
      </c>
      <c r="G36" s="211" t="s">
        <v>305</v>
      </c>
      <c r="H36" s="305">
        <v>0.5625</v>
      </c>
      <c r="I36" s="211" t="s">
        <v>306</v>
      </c>
      <c r="J36" s="306">
        <v>1.2500000000000001E-2</v>
      </c>
      <c r="K36" s="211" t="s">
        <v>44</v>
      </c>
      <c r="L36" s="211" t="s">
        <v>23</v>
      </c>
      <c r="M36" s="211" t="s">
        <v>303</v>
      </c>
      <c r="N36" s="239">
        <v>44925</v>
      </c>
      <c r="O36" s="239">
        <v>45289</v>
      </c>
      <c r="P36" s="239">
        <v>45657</v>
      </c>
      <c r="Q36" s="239">
        <v>46022</v>
      </c>
      <c r="R36" s="306">
        <f>VLOOKUP($A36,[1]CATALOGO!$B$6:$P$182,R$3,0)</f>
        <v>1.2775053467502247E-2</v>
      </c>
    </row>
    <row r="37" spans="1:18" x14ac:dyDescent="0.35">
      <c r="A37" s="211" t="s">
        <v>158</v>
      </c>
      <c r="B37" s="211" t="s">
        <v>23</v>
      </c>
      <c r="C37" s="211" t="s">
        <v>314</v>
      </c>
      <c r="D37" s="307" t="s">
        <v>302</v>
      </c>
      <c r="E37" s="211" t="s">
        <v>303</v>
      </c>
      <c r="F37" s="211" t="s">
        <v>304</v>
      </c>
      <c r="G37" s="211" t="s">
        <v>305</v>
      </c>
      <c r="H37" s="305">
        <v>0.5625</v>
      </c>
      <c r="I37" s="211" t="s">
        <v>306</v>
      </c>
      <c r="J37" s="306">
        <v>1.38E-2</v>
      </c>
      <c r="K37" s="211" t="s">
        <v>44</v>
      </c>
      <c r="L37" s="211" t="s">
        <v>23</v>
      </c>
      <c r="M37" s="211" t="s">
        <v>303</v>
      </c>
      <c r="N37" s="239">
        <v>44925</v>
      </c>
      <c r="O37" s="239">
        <v>45289</v>
      </c>
      <c r="P37" s="239">
        <v>45657</v>
      </c>
      <c r="Q37" s="239">
        <v>46022</v>
      </c>
      <c r="R37" s="306">
        <f>VLOOKUP($A37,[1]CATALOGO!$B$6:$P$182,R$3,0)</f>
        <v>1.4075053467502246E-2</v>
      </c>
    </row>
    <row r="38" spans="1:18" x14ac:dyDescent="0.35">
      <c r="A38" s="211" t="s">
        <v>15</v>
      </c>
      <c r="B38" s="211" t="s">
        <v>23</v>
      </c>
      <c r="C38" s="211" t="s">
        <v>312</v>
      </c>
      <c r="D38" s="307" t="s">
        <v>302</v>
      </c>
      <c r="E38" s="211" t="s">
        <v>320</v>
      </c>
      <c r="F38" s="211" t="s">
        <v>321</v>
      </c>
      <c r="G38" s="211" t="s">
        <v>305</v>
      </c>
      <c r="H38" s="305">
        <v>0.5625</v>
      </c>
      <c r="I38" s="211" t="s">
        <v>306</v>
      </c>
      <c r="J38" s="306">
        <v>7.4999999999999997E-3</v>
      </c>
      <c r="K38" s="211" t="s">
        <v>166</v>
      </c>
      <c r="L38" s="211" t="s">
        <v>23</v>
      </c>
      <c r="M38" s="211" t="s">
        <v>320</v>
      </c>
      <c r="N38" s="239">
        <v>44925</v>
      </c>
      <c r="O38" s="239">
        <v>45289</v>
      </c>
      <c r="P38" s="239">
        <v>45657</v>
      </c>
      <c r="Q38" s="239">
        <v>46022</v>
      </c>
      <c r="R38" s="306">
        <f>VLOOKUP($A38,[1]CATALOGO!$B$6:$P$182,R$3,0)</f>
        <v>9.3782790273045005E-3</v>
      </c>
    </row>
    <row r="39" spans="1:18" x14ac:dyDescent="0.35">
      <c r="A39" s="211" t="s">
        <v>12</v>
      </c>
      <c r="B39" s="211" t="s">
        <v>322</v>
      </c>
      <c r="C39" s="211" t="s">
        <v>312</v>
      </c>
      <c r="D39" s="307" t="s">
        <v>302</v>
      </c>
      <c r="E39" s="211" t="s">
        <v>303</v>
      </c>
      <c r="F39" s="211" t="s">
        <v>304</v>
      </c>
      <c r="G39" s="211" t="s">
        <v>317</v>
      </c>
      <c r="H39" s="305">
        <v>0.52083333333333337</v>
      </c>
      <c r="I39" s="211" t="s">
        <v>323</v>
      </c>
      <c r="J39" s="306">
        <v>1.0999999999999999E-2</v>
      </c>
      <c r="K39" s="211" t="s">
        <v>41</v>
      </c>
      <c r="L39" s="211" t="s">
        <v>23</v>
      </c>
      <c r="M39" s="211" t="s">
        <v>324</v>
      </c>
      <c r="N39" s="239">
        <v>44925</v>
      </c>
      <c r="O39" s="239">
        <v>45289</v>
      </c>
      <c r="P39" s="239">
        <v>45657</v>
      </c>
      <c r="Q39" s="239">
        <v>46022</v>
      </c>
      <c r="R39" s="306">
        <f>VLOOKUP($A39,[1]CATALOGO!$B$6:$P$182,R$3,0)</f>
        <v>1.1451603378631514E-2</v>
      </c>
    </row>
    <row r="40" spans="1:18" x14ac:dyDescent="0.35">
      <c r="A40" s="211" t="s">
        <v>13</v>
      </c>
      <c r="B40" s="211" t="s">
        <v>322</v>
      </c>
      <c r="C40" s="211" t="s">
        <v>301</v>
      </c>
      <c r="D40" s="307" t="s">
        <v>302</v>
      </c>
      <c r="E40" s="211" t="s">
        <v>303</v>
      </c>
      <c r="F40" s="211" t="s">
        <v>304</v>
      </c>
      <c r="G40" s="211" t="s">
        <v>317</v>
      </c>
      <c r="H40" s="305">
        <v>0.52083333333333337</v>
      </c>
      <c r="I40" s="211" t="s">
        <v>323</v>
      </c>
      <c r="J40" s="306">
        <v>1.0999999999999999E-2</v>
      </c>
      <c r="K40" s="211" t="s">
        <v>41</v>
      </c>
      <c r="L40" s="211" t="s">
        <v>23</v>
      </c>
      <c r="M40" s="211" t="s">
        <v>324</v>
      </c>
      <c r="N40" s="239">
        <v>44925</v>
      </c>
      <c r="O40" s="239">
        <v>45289</v>
      </c>
      <c r="P40" s="239">
        <v>45657</v>
      </c>
      <c r="Q40" s="239">
        <v>46022</v>
      </c>
      <c r="R40" s="306">
        <f>VLOOKUP($A40,[1]CATALOGO!$B$6:$P$182,R$3,0)</f>
        <v>1.1451603378631514E-2</v>
      </c>
    </row>
    <row r="41" spans="1:18" x14ac:dyDescent="0.35">
      <c r="A41" s="211" t="s">
        <v>14</v>
      </c>
      <c r="B41" s="211" t="s">
        <v>322</v>
      </c>
      <c r="C41" s="211" t="s">
        <v>313</v>
      </c>
      <c r="D41" s="307" t="s">
        <v>302</v>
      </c>
      <c r="E41" s="211" t="s">
        <v>303</v>
      </c>
      <c r="F41" s="211" t="s">
        <v>304</v>
      </c>
      <c r="G41" s="211" t="s">
        <v>317</v>
      </c>
      <c r="H41" s="305">
        <v>0.52083333333333337</v>
      </c>
      <c r="I41" s="211" t="s">
        <v>323</v>
      </c>
      <c r="J41" s="306">
        <v>1.0999999999999999E-2</v>
      </c>
      <c r="K41" s="211" t="s">
        <v>41</v>
      </c>
      <c r="L41" s="211" t="s">
        <v>23</v>
      </c>
      <c r="M41" s="211" t="s">
        <v>324</v>
      </c>
      <c r="N41" s="239">
        <v>44925</v>
      </c>
      <c r="O41" s="239">
        <v>45289</v>
      </c>
      <c r="P41" s="239">
        <v>45657</v>
      </c>
      <c r="Q41" s="239">
        <v>46022</v>
      </c>
      <c r="R41" s="306">
        <f>VLOOKUP($A41,[1]CATALOGO!$B$6:$P$182,R$3,0)</f>
        <v>1.1451603378631514E-2</v>
      </c>
    </row>
    <row r="42" spans="1:18" x14ac:dyDescent="0.35">
      <c r="A42" s="211" t="s">
        <v>159</v>
      </c>
      <c r="B42" s="211" t="s">
        <v>322</v>
      </c>
      <c r="C42" s="211" t="s">
        <v>314</v>
      </c>
      <c r="D42" s="307" t="s">
        <v>302</v>
      </c>
      <c r="E42" s="211" t="s">
        <v>303</v>
      </c>
      <c r="F42" s="211" t="s">
        <v>304</v>
      </c>
      <c r="G42" s="211" t="s">
        <v>317</v>
      </c>
      <c r="H42" s="305">
        <v>0.52083333333333337</v>
      </c>
      <c r="I42" s="211" t="s">
        <v>323</v>
      </c>
      <c r="J42" s="306">
        <v>1.0999999999999999E-2</v>
      </c>
      <c r="K42" s="211" t="s">
        <v>41</v>
      </c>
      <c r="L42" s="211" t="s">
        <v>23</v>
      </c>
      <c r="M42" s="211" t="s">
        <v>324</v>
      </c>
      <c r="N42" s="239">
        <v>44925</v>
      </c>
      <c r="O42" s="239">
        <v>45289</v>
      </c>
      <c r="P42" s="239">
        <v>45657</v>
      </c>
      <c r="Q42" s="239">
        <v>46022</v>
      </c>
      <c r="R42" s="306">
        <f>VLOOKUP($A42,[1]CATALOGO!$B$6:$P$182,R$3,0)</f>
        <v>1.1451603378631514E-2</v>
      </c>
    </row>
    <row r="43" spans="1:18" x14ac:dyDescent="0.35">
      <c r="A43" s="211" t="s">
        <v>160</v>
      </c>
      <c r="B43" s="211" t="s">
        <v>322</v>
      </c>
      <c r="C43" s="211" t="s">
        <v>309</v>
      </c>
      <c r="D43" s="307" t="s">
        <v>302</v>
      </c>
      <c r="E43" s="211" t="s">
        <v>303</v>
      </c>
      <c r="F43" s="211" t="s">
        <v>304</v>
      </c>
      <c r="G43" s="211" t="s">
        <v>317</v>
      </c>
      <c r="H43" s="305">
        <v>0.52083333333333337</v>
      </c>
      <c r="I43" s="211" t="s">
        <v>323</v>
      </c>
      <c r="J43" s="306">
        <v>1.0999999999999999E-2</v>
      </c>
      <c r="K43" s="211" t="s">
        <v>41</v>
      </c>
      <c r="L43" s="211" t="s">
        <v>23</v>
      </c>
      <c r="M43" s="211" t="s">
        <v>324</v>
      </c>
      <c r="N43" s="239">
        <v>44925</v>
      </c>
      <c r="O43" s="239">
        <v>45289</v>
      </c>
      <c r="P43" s="239">
        <v>45657</v>
      </c>
      <c r="Q43" s="239">
        <v>46022</v>
      </c>
      <c r="R43" s="306">
        <f>VLOOKUP($A43,[1]CATALOGO!$B$6:$P$182,R$3,0)</f>
        <v>1.1451603378631514E-2</v>
      </c>
    </row>
    <row r="44" spans="1:18" x14ac:dyDescent="0.35">
      <c r="A44" s="211" t="s">
        <v>161</v>
      </c>
      <c r="B44" s="211" t="s">
        <v>322</v>
      </c>
      <c r="C44" s="211" t="s">
        <v>311</v>
      </c>
      <c r="D44" s="307" t="s">
        <v>302</v>
      </c>
      <c r="E44" s="211" t="s">
        <v>303</v>
      </c>
      <c r="F44" s="211" t="s">
        <v>304</v>
      </c>
      <c r="G44" s="211" t="s">
        <v>317</v>
      </c>
      <c r="H44" s="305">
        <v>0.52083333333333337</v>
      </c>
      <c r="I44" s="211" t="s">
        <v>323</v>
      </c>
      <c r="J44" s="306">
        <v>2.5000000000000001E-3</v>
      </c>
      <c r="K44" s="211" t="s">
        <v>41</v>
      </c>
      <c r="L44" s="211" t="s">
        <v>23</v>
      </c>
      <c r="M44" s="211" t="s">
        <v>324</v>
      </c>
      <c r="N44" s="239">
        <v>44925</v>
      </c>
      <c r="O44" s="239">
        <v>45289</v>
      </c>
      <c r="P44" s="239">
        <v>45657</v>
      </c>
      <c r="Q44" s="239">
        <v>46022</v>
      </c>
      <c r="R44" s="306">
        <f>VLOOKUP($A44,[1]CATALOGO!$B$6:$P$182,R$3,0)</f>
        <v>2.9516033786315152E-3</v>
      </c>
    </row>
    <row r="45" spans="1:18" x14ac:dyDescent="0.35">
      <c r="A45" s="211" t="s">
        <v>141</v>
      </c>
      <c r="B45" s="211" t="s">
        <v>325</v>
      </c>
      <c r="C45" s="211" t="s">
        <v>312</v>
      </c>
      <c r="D45" s="307" t="s">
        <v>302</v>
      </c>
      <c r="E45" s="211" t="s">
        <v>320</v>
      </c>
      <c r="F45" s="211" t="s">
        <v>304</v>
      </c>
      <c r="G45" s="211" t="s">
        <v>326</v>
      </c>
      <c r="H45" s="305" t="s">
        <v>327</v>
      </c>
      <c r="I45" s="211" t="s">
        <v>81</v>
      </c>
      <c r="J45" s="306">
        <v>3.0000000000000002E-2</v>
      </c>
      <c r="K45" s="211" t="s">
        <v>42</v>
      </c>
      <c r="L45" s="211" t="s">
        <v>79</v>
      </c>
      <c r="M45" s="211" t="s">
        <v>328</v>
      </c>
      <c r="N45" s="239">
        <v>44925</v>
      </c>
      <c r="O45" s="239">
        <v>45289</v>
      </c>
      <c r="P45" s="239">
        <v>45657</v>
      </c>
      <c r="Q45" s="239">
        <v>46022</v>
      </c>
      <c r="R45" s="306">
        <f>VLOOKUP($A45,[1]CATALOGO!$B$6:$P$182,R$3,0)</f>
        <v>3.1329181680963311E-2</v>
      </c>
    </row>
    <row r="46" spans="1:18" x14ac:dyDescent="0.35">
      <c r="A46" s="211" t="s">
        <v>132</v>
      </c>
      <c r="B46" s="211" t="s">
        <v>325</v>
      </c>
      <c r="C46" s="211" t="s">
        <v>301</v>
      </c>
      <c r="D46" s="307" t="s">
        <v>302</v>
      </c>
      <c r="E46" s="211" t="s">
        <v>320</v>
      </c>
      <c r="F46" s="211" t="s">
        <v>304</v>
      </c>
      <c r="G46" s="211" t="s">
        <v>326</v>
      </c>
      <c r="H46" s="305" t="s">
        <v>327</v>
      </c>
      <c r="I46" s="211" t="s">
        <v>81</v>
      </c>
      <c r="J46" s="306">
        <v>3.0000000000000002E-2</v>
      </c>
      <c r="K46" s="211" t="s">
        <v>42</v>
      </c>
      <c r="L46" s="211" t="s">
        <v>79</v>
      </c>
      <c r="M46" s="211" t="s">
        <v>328</v>
      </c>
      <c r="N46" s="239">
        <v>44925</v>
      </c>
      <c r="O46" s="239">
        <v>45289</v>
      </c>
      <c r="P46" s="239">
        <v>45657</v>
      </c>
      <c r="Q46" s="239">
        <v>46022</v>
      </c>
      <c r="R46" s="306">
        <f>VLOOKUP($A46,[1]CATALOGO!$B$6:$P$182,R$3,0)</f>
        <v>3.1329181680963311E-2</v>
      </c>
    </row>
    <row r="47" spans="1:18" x14ac:dyDescent="0.35">
      <c r="A47" s="211" t="s">
        <v>143</v>
      </c>
      <c r="B47" s="211" t="s">
        <v>325</v>
      </c>
      <c r="C47" s="211" t="s">
        <v>311</v>
      </c>
      <c r="D47" s="307" t="s">
        <v>302</v>
      </c>
      <c r="E47" s="211" t="s">
        <v>320</v>
      </c>
      <c r="F47" s="211" t="s">
        <v>304</v>
      </c>
      <c r="G47" s="211" t="s">
        <v>326</v>
      </c>
      <c r="H47" s="305" t="s">
        <v>327</v>
      </c>
      <c r="I47" s="211" t="s">
        <v>81</v>
      </c>
      <c r="J47" s="306">
        <v>2.5000000000000001E-3</v>
      </c>
      <c r="K47" s="211" t="s">
        <v>42</v>
      </c>
      <c r="L47" s="211" t="s">
        <v>79</v>
      </c>
      <c r="M47" s="211" t="s">
        <v>328</v>
      </c>
      <c r="N47" s="239">
        <v>44925</v>
      </c>
      <c r="O47" s="239">
        <v>45289</v>
      </c>
      <c r="P47" s="239">
        <v>45657</v>
      </c>
      <c r="Q47" s="239">
        <v>46022</v>
      </c>
      <c r="R47" s="306">
        <f>VLOOKUP($A47,[1]CATALOGO!$B$6:$P$182,R$3,0)</f>
        <v>3.8291816809633049E-3</v>
      </c>
    </row>
    <row r="48" spans="1:18" x14ac:dyDescent="0.35">
      <c r="A48" s="211" t="s">
        <v>144</v>
      </c>
      <c r="B48" s="211" t="s">
        <v>325</v>
      </c>
      <c r="C48" s="211" t="s">
        <v>309</v>
      </c>
      <c r="D48" s="307" t="s">
        <v>302</v>
      </c>
      <c r="E48" s="211" t="s">
        <v>320</v>
      </c>
      <c r="F48" s="211" t="s">
        <v>304</v>
      </c>
      <c r="G48" s="211" t="s">
        <v>326</v>
      </c>
      <c r="H48" s="305" t="s">
        <v>327</v>
      </c>
      <c r="I48" s="211" t="s">
        <v>81</v>
      </c>
      <c r="J48" s="306">
        <v>3.0000000000000002E-2</v>
      </c>
      <c r="K48" s="211" t="s">
        <v>42</v>
      </c>
      <c r="L48" s="211" t="s">
        <v>79</v>
      </c>
      <c r="M48" s="211" t="s">
        <v>328</v>
      </c>
      <c r="N48" s="239">
        <v>44925</v>
      </c>
      <c r="O48" s="239">
        <v>45289</v>
      </c>
      <c r="P48" s="239">
        <v>45657</v>
      </c>
      <c r="Q48" s="239">
        <v>46022</v>
      </c>
      <c r="R48" s="306">
        <f>VLOOKUP($A48,[1]CATALOGO!$B$6:$P$182,R$3,0)</f>
        <v>3.1329181680963311E-2</v>
      </c>
    </row>
    <row r="49" spans="1:18" x14ac:dyDescent="0.35">
      <c r="A49" s="211" t="s">
        <v>142</v>
      </c>
      <c r="B49" s="211" t="s">
        <v>325</v>
      </c>
      <c r="C49" s="211" t="s">
        <v>313</v>
      </c>
      <c r="D49" s="307" t="s">
        <v>302</v>
      </c>
      <c r="E49" s="211" t="s">
        <v>320</v>
      </c>
      <c r="F49" s="211" t="s">
        <v>304</v>
      </c>
      <c r="G49" s="211" t="s">
        <v>326</v>
      </c>
      <c r="H49" s="305" t="s">
        <v>327</v>
      </c>
      <c r="I49" s="211" t="s">
        <v>81</v>
      </c>
      <c r="J49" s="306">
        <v>1.7500000000000002E-2</v>
      </c>
      <c r="K49" s="211" t="s">
        <v>42</v>
      </c>
      <c r="L49" s="211" t="s">
        <v>79</v>
      </c>
      <c r="M49" s="211" t="s">
        <v>328</v>
      </c>
      <c r="N49" s="239">
        <v>44925</v>
      </c>
      <c r="O49" s="239">
        <v>45289</v>
      </c>
      <c r="P49" s="239">
        <v>45657</v>
      </c>
      <c r="Q49" s="239">
        <v>46022</v>
      </c>
      <c r="R49" s="306">
        <f>VLOOKUP($A49,[1]CATALOGO!$B$6:$P$182,R$3,0)</f>
        <v>1.8829181680963307E-2</v>
      </c>
    </row>
    <row r="50" spans="1:18" x14ac:dyDescent="0.35">
      <c r="A50" s="211" t="s">
        <v>145</v>
      </c>
      <c r="B50" s="211" t="s">
        <v>325</v>
      </c>
      <c r="C50" s="211" t="s">
        <v>314</v>
      </c>
      <c r="D50" s="307" t="s">
        <v>302</v>
      </c>
      <c r="E50" s="211" t="s">
        <v>320</v>
      </c>
      <c r="F50" s="211" t="s">
        <v>304</v>
      </c>
      <c r="G50" s="211" t="s">
        <v>326</v>
      </c>
      <c r="H50" s="305" t="s">
        <v>327</v>
      </c>
      <c r="I50" s="211" t="s">
        <v>81</v>
      </c>
      <c r="J50" s="306">
        <v>1.2500000000000001E-2</v>
      </c>
      <c r="K50" s="211" t="s">
        <v>42</v>
      </c>
      <c r="L50" s="211" t="s">
        <v>79</v>
      </c>
      <c r="M50" s="211" t="s">
        <v>328</v>
      </c>
      <c r="N50" s="239">
        <v>44925</v>
      </c>
      <c r="O50" s="239">
        <v>45289</v>
      </c>
      <c r="P50" s="239">
        <v>45657</v>
      </c>
      <c r="Q50" s="239">
        <v>46022</v>
      </c>
      <c r="R50" s="306">
        <f>VLOOKUP($A50,[1]CATALOGO!$B$6:$P$182,R$3,0)</f>
        <v>1.3829181680963306E-2</v>
      </c>
    </row>
    <row r="51" spans="1:18" x14ac:dyDescent="0.35">
      <c r="A51" s="211" t="s">
        <v>19</v>
      </c>
      <c r="B51" s="211" t="s">
        <v>329</v>
      </c>
      <c r="C51" s="211" t="s">
        <v>330</v>
      </c>
      <c r="D51" s="307" t="s">
        <v>302</v>
      </c>
      <c r="E51" s="211" t="s">
        <v>331</v>
      </c>
      <c r="F51" s="211" t="s">
        <v>304</v>
      </c>
      <c r="G51" s="211" t="s">
        <v>332</v>
      </c>
      <c r="H51" s="305">
        <v>0.52083333333333337</v>
      </c>
      <c r="I51" s="211" t="s">
        <v>333</v>
      </c>
      <c r="J51" s="306">
        <v>7.4999999999999997E-3</v>
      </c>
      <c r="K51" s="211" t="s">
        <v>43</v>
      </c>
      <c r="L51" s="211" t="s">
        <v>23</v>
      </c>
      <c r="M51" s="211" t="s">
        <v>334</v>
      </c>
      <c r="N51" s="239">
        <v>44925</v>
      </c>
      <c r="O51" s="239">
        <v>45289</v>
      </c>
      <c r="P51" s="239">
        <v>45657</v>
      </c>
      <c r="Q51" s="239">
        <v>46022</v>
      </c>
      <c r="R51" s="306">
        <f>VLOOKUP($A51,[1]CATALOGO!$B$6:$P$182,R$3,0)</f>
        <v>0</v>
      </c>
    </row>
    <row r="52" spans="1:18" x14ac:dyDescent="0.35">
      <c r="A52" s="211" t="s">
        <v>20</v>
      </c>
      <c r="B52" s="211" t="s">
        <v>329</v>
      </c>
      <c r="C52" s="211" t="s">
        <v>335</v>
      </c>
      <c r="D52" s="307" t="s">
        <v>302</v>
      </c>
      <c r="E52" s="211" t="s">
        <v>331</v>
      </c>
      <c r="F52" s="211" t="s">
        <v>304</v>
      </c>
      <c r="G52" s="211" t="s">
        <v>332</v>
      </c>
      <c r="H52" s="305">
        <v>0.52083333333333337</v>
      </c>
      <c r="I52" s="211" t="s">
        <v>333</v>
      </c>
      <c r="J52" s="306">
        <v>0.01</v>
      </c>
      <c r="K52" s="211" t="s">
        <v>43</v>
      </c>
      <c r="L52" s="211" t="s">
        <v>23</v>
      </c>
      <c r="M52" s="211" t="s">
        <v>334</v>
      </c>
      <c r="N52" s="239">
        <v>44925</v>
      </c>
      <c r="O52" s="239">
        <v>45289</v>
      </c>
      <c r="P52" s="239">
        <v>45657</v>
      </c>
      <c r="Q52" s="239">
        <v>46022</v>
      </c>
      <c r="R52" s="306">
        <f>VLOOKUP($A52,[1]CATALOGO!$B$6:$P$182,R$3,0)</f>
        <v>0</v>
      </c>
    </row>
    <row r="53" spans="1:18" x14ac:dyDescent="0.35">
      <c r="A53" s="211" t="s">
        <v>21</v>
      </c>
      <c r="B53" s="211" t="s">
        <v>329</v>
      </c>
      <c r="C53" s="211" t="s">
        <v>336</v>
      </c>
      <c r="D53" s="307" t="s">
        <v>302</v>
      </c>
      <c r="E53" s="211" t="s">
        <v>331</v>
      </c>
      <c r="F53" s="211" t="s">
        <v>304</v>
      </c>
      <c r="G53" s="211" t="s">
        <v>332</v>
      </c>
      <c r="H53" s="305">
        <v>0.52083333333333337</v>
      </c>
      <c r="I53" s="211" t="s">
        <v>333</v>
      </c>
      <c r="J53" s="306">
        <v>0.01</v>
      </c>
      <c r="K53" s="211" t="s">
        <v>43</v>
      </c>
      <c r="L53" s="211" t="s">
        <v>23</v>
      </c>
      <c r="M53" s="211" t="s">
        <v>334</v>
      </c>
      <c r="N53" s="239">
        <v>44925</v>
      </c>
      <c r="O53" s="239">
        <v>45289</v>
      </c>
      <c r="P53" s="239">
        <v>45657</v>
      </c>
      <c r="Q53" s="239">
        <v>46022</v>
      </c>
      <c r="R53" s="306">
        <f>VLOOKUP($A53,[1]CATALOGO!$B$6:$P$182,R$3,0)</f>
        <v>0</v>
      </c>
    </row>
    <row r="54" spans="1:18" x14ac:dyDescent="0.35">
      <c r="A54" s="211" t="s">
        <v>22</v>
      </c>
      <c r="B54" s="211" t="s">
        <v>24</v>
      </c>
      <c r="C54" s="211" t="s">
        <v>337</v>
      </c>
      <c r="D54" s="307" t="s">
        <v>302</v>
      </c>
      <c r="E54" s="211" t="s">
        <v>315</v>
      </c>
      <c r="F54" s="211" t="s">
        <v>304</v>
      </c>
      <c r="G54" s="211" t="s">
        <v>332</v>
      </c>
      <c r="H54" s="305">
        <v>0.52083333333333337</v>
      </c>
      <c r="I54" s="211">
        <v>0</v>
      </c>
      <c r="J54" s="306">
        <v>0.01</v>
      </c>
      <c r="K54" s="211" t="s">
        <v>24</v>
      </c>
      <c r="L54" s="211" t="s">
        <v>79</v>
      </c>
      <c r="M54" s="211" t="s">
        <v>338</v>
      </c>
      <c r="N54" s="239">
        <v>44925</v>
      </c>
      <c r="O54" s="239">
        <v>45289</v>
      </c>
      <c r="P54" s="239">
        <v>45657</v>
      </c>
      <c r="Q54" s="239">
        <v>46022</v>
      </c>
      <c r="R54" s="306">
        <f>VLOOKUP($A54,[1]CATALOGO!$B$6:$P$182,R$3,0)</f>
        <v>0</v>
      </c>
    </row>
    <row r="55" spans="1:18" x14ac:dyDescent="0.35">
      <c r="A55" s="211" t="s">
        <v>46</v>
      </c>
      <c r="B55" s="211" t="s">
        <v>47</v>
      </c>
      <c r="C55" s="211" t="s">
        <v>337</v>
      </c>
      <c r="D55" s="307" t="s">
        <v>302</v>
      </c>
      <c r="E55" s="211" t="s">
        <v>315</v>
      </c>
      <c r="F55" s="211" t="s">
        <v>304</v>
      </c>
      <c r="G55" s="211" t="s">
        <v>332</v>
      </c>
      <c r="H55" s="305">
        <v>0.52083333333333337</v>
      </c>
      <c r="I55" s="211">
        <v>0</v>
      </c>
      <c r="J55" s="306">
        <v>1.2500000000000001E-2</v>
      </c>
      <c r="K55" s="211" t="s">
        <v>47</v>
      </c>
      <c r="L55" s="211" t="s">
        <v>79</v>
      </c>
      <c r="M55" s="211" t="s">
        <v>338</v>
      </c>
      <c r="N55" s="239">
        <v>44925</v>
      </c>
      <c r="O55" s="239">
        <v>45289</v>
      </c>
      <c r="P55" s="239">
        <v>45657</v>
      </c>
      <c r="Q55" s="239">
        <v>46022</v>
      </c>
      <c r="R55" s="306">
        <f>VLOOKUP($A55,[1]CATALOGO!$B$6:$P$182,R$3,0)</f>
        <v>0</v>
      </c>
    </row>
    <row r="56" spans="1:18" x14ac:dyDescent="0.35">
      <c r="A56" s="211" t="s">
        <v>111</v>
      </c>
      <c r="B56" s="211" t="s">
        <v>47</v>
      </c>
      <c r="C56" s="211" t="s">
        <v>337</v>
      </c>
      <c r="D56" s="307" t="s">
        <v>302</v>
      </c>
      <c r="E56" s="211" t="s">
        <v>315</v>
      </c>
      <c r="F56" s="211" t="s">
        <v>304</v>
      </c>
      <c r="G56" s="211" t="s">
        <v>332</v>
      </c>
      <c r="H56" s="305">
        <v>0.52083333333333337</v>
      </c>
      <c r="I56" s="211">
        <v>0</v>
      </c>
      <c r="J56" s="306">
        <v>9.9000000000000008E-3</v>
      </c>
      <c r="K56" s="211" t="s">
        <v>47</v>
      </c>
      <c r="L56" s="211" t="s">
        <v>79</v>
      </c>
      <c r="M56" s="211" t="s">
        <v>338</v>
      </c>
      <c r="N56" s="239">
        <v>44925</v>
      </c>
      <c r="O56" s="239">
        <v>45289</v>
      </c>
      <c r="P56" s="239">
        <v>45657</v>
      </c>
      <c r="Q56" s="239">
        <v>46022</v>
      </c>
      <c r="R56" s="306">
        <f>VLOOKUP($A56,[1]CATALOGO!$B$6:$P$182,R$3,0)</f>
        <v>0</v>
      </c>
    </row>
    <row r="57" spans="1:18" x14ac:dyDescent="0.35">
      <c r="A57" s="211" t="s">
        <v>108</v>
      </c>
      <c r="B57" s="211" t="s">
        <v>23</v>
      </c>
      <c r="C57" s="211" t="s">
        <v>330</v>
      </c>
      <c r="D57" s="307" t="s">
        <v>302</v>
      </c>
      <c r="E57" s="211" t="s">
        <v>339</v>
      </c>
      <c r="F57" s="211" t="s">
        <v>304</v>
      </c>
      <c r="G57" s="211" t="s">
        <v>317</v>
      </c>
      <c r="H57" s="305">
        <v>0.52083333333333337</v>
      </c>
      <c r="I57" s="211" t="s">
        <v>340</v>
      </c>
      <c r="J57" s="306">
        <v>9.7999999999999979E-3</v>
      </c>
      <c r="K57" s="211" t="s">
        <v>48</v>
      </c>
      <c r="L57" s="211" t="s">
        <v>23</v>
      </c>
      <c r="M57" s="211" t="s">
        <v>341</v>
      </c>
      <c r="N57" s="239">
        <v>44925</v>
      </c>
      <c r="O57" s="239">
        <v>45289</v>
      </c>
      <c r="P57" s="239">
        <v>45657</v>
      </c>
      <c r="Q57" s="239">
        <v>46022</v>
      </c>
      <c r="R57" s="306">
        <f>VLOOKUP($A57,[1]CATALOGO!$B$6:$P$182,R$3,0)</f>
        <v>0</v>
      </c>
    </row>
    <row r="58" spans="1:18" x14ac:dyDescent="0.35">
      <c r="A58" s="211" t="s">
        <v>109</v>
      </c>
      <c r="B58" s="211" t="s">
        <v>23</v>
      </c>
      <c r="C58" s="211" t="s">
        <v>335</v>
      </c>
      <c r="D58" s="307" t="s">
        <v>302</v>
      </c>
      <c r="E58" s="211" t="s">
        <v>339</v>
      </c>
      <c r="F58" s="211" t="s">
        <v>304</v>
      </c>
      <c r="G58" s="211" t="s">
        <v>317</v>
      </c>
      <c r="H58" s="305">
        <v>0.52083333333333337</v>
      </c>
      <c r="I58" s="211" t="s">
        <v>340</v>
      </c>
      <c r="J58" s="306">
        <v>1.0499999999999999E-2</v>
      </c>
      <c r="K58" s="211" t="s">
        <v>48</v>
      </c>
      <c r="L58" s="211" t="s">
        <v>23</v>
      </c>
      <c r="M58" s="211" t="s">
        <v>341</v>
      </c>
      <c r="N58" s="239">
        <v>44925</v>
      </c>
      <c r="O58" s="239">
        <v>45289</v>
      </c>
      <c r="P58" s="239">
        <v>45657</v>
      </c>
      <c r="Q58" s="239">
        <v>46022</v>
      </c>
      <c r="R58" s="306">
        <f>VLOOKUP($A58,[1]CATALOGO!$B$6:$P$182,R$3,0)</f>
        <v>0</v>
      </c>
    </row>
    <row r="59" spans="1:18" x14ac:dyDescent="0.35">
      <c r="A59" s="211" t="s">
        <v>110</v>
      </c>
      <c r="B59" s="211" t="s">
        <v>23</v>
      </c>
      <c r="C59" s="211" t="s">
        <v>336</v>
      </c>
      <c r="D59" s="307" t="s">
        <v>302</v>
      </c>
      <c r="E59" s="211" t="s">
        <v>339</v>
      </c>
      <c r="F59" s="211" t="s">
        <v>304</v>
      </c>
      <c r="G59" s="211" t="s">
        <v>317</v>
      </c>
      <c r="H59" s="305">
        <v>0.52083333333333337</v>
      </c>
      <c r="I59" s="211" t="s">
        <v>340</v>
      </c>
      <c r="J59" s="306">
        <v>1.0499999999999999E-2</v>
      </c>
      <c r="K59" s="211" t="s">
        <v>48</v>
      </c>
      <c r="L59" s="211" t="s">
        <v>23</v>
      </c>
      <c r="M59" s="211" t="s">
        <v>341</v>
      </c>
      <c r="N59" s="239">
        <v>44925</v>
      </c>
      <c r="O59" s="239">
        <v>45289</v>
      </c>
      <c r="P59" s="239">
        <v>45657</v>
      </c>
      <c r="Q59" s="239">
        <v>46022</v>
      </c>
      <c r="R59" s="306">
        <f>VLOOKUP($A59,[1]CATALOGO!$B$6:$P$182,R$3,0)</f>
        <v>0</v>
      </c>
    </row>
    <row r="60" spans="1:18" x14ac:dyDescent="0.35">
      <c r="A60" s="211" t="s">
        <v>84</v>
      </c>
      <c r="B60" s="211" t="s">
        <v>342</v>
      </c>
      <c r="C60" s="211" t="s">
        <v>312</v>
      </c>
      <c r="D60" s="307" t="s">
        <v>302</v>
      </c>
      <c r="E60" s="211" t="s">
        <v>315</v>
      </c>
      <c r="F60" s="211" t="s">
        <v>316</v>
      </c>
      <c r="G60" s="211" t="s">
        <v>317</v>
      </c>
      <c r="H60" s="305">
        <v>0.52083333333333337</v>
      </c>
      <c r="I60" s="211" t="s">
        <v>81</v>
      </c>
      <c r="J60" s="306">
        <v>1.8200000000000001E-2</v>
      </c>
      <c r="K60" s="211" t="s">
        <v>106</v>
      </c>
      <c r="L60" s="211" t="s">
        <v>79</v>
      </c>
      <c r="M60" s="211" t="s">
        <v>343</v>
      </c>
      <c r="N60" s="239">
        <v>44925</v>
      </c>
      <c r="O60" s="239">
        <v>45289</v>
      </c>
      <c r="P60" s="239">
        <v>45657</v>
      </c>
      <c r="Q60" s="239">
        <v>46022</v>
      </c>
      <c r="R60" s="306">
        <f>VLOOKUP($A60,[1]CATALOGO!$B$6:$P$182,R$3,0)</f>
        <v>1.8646562470425603E-2</v>
      </c>
    </row>
    <row r="61" spans="1:18" x14ac:dyDescent="0.35">
      <c r="A61" s="211" t="s">
        <v>85</v>
      </c>
      <c r="B61" s="211" t="s">
        <v>342</v>
      </c>
      <c r="C61" s="211" t="s">
        <v>312</v>
      </c>
      <c r="D61" s="307">
        <v>3000000</v>
      </c>
      <c r="E61" s="211" t="s">
        <v>315</v>
      </c>
      <c r="F61" s="211" t="s">
        <v>316</v>
      </c>
      <c r="G61" s="211" t="s">
        <v>317</v>
      </c>
      <c r="H61" s="305">
        <v>0.52083333333333337</v>
      </c>
      <c r="I61" s="211" t="s">
        <v>81</v>
      </c>
      <c r="J61" s="306">
        <v>1.5699999999999999E-2</v>
      </c>
      <c r="K61" s="211" t="s">
        <v>106</v>
      </c>
      <c r="L61" s="211" t="s">
        <v>79</v>
      </c>
      <c r="M61" s="211" t="s">
        <v>343</v>
      </c>
      <c r="N61" s="239">
        <v>44925</v>
      </c>
      <c r="O61" s="239">
        <v>45289</v>
      </c>
      <c r="P61" s="239">
        <v>45657</v>
      </c>
      <c r="Q61" s="239">
        <v>46022</v>
      </c>
      <c r="R61" s="306">
        <f>VLOOKUP($A61,[1]CATALOGO!$B$6:$P$182,R$3,0)</f>
        <v>1.6146562470425601E-2</v>
      </c>
    </row>
    <row r="62" spans="1:18" x14ac:dyDescent="0.35">
      <c r="A62" s="211" t="s">
        <v>86</v>
      </c>
      <c r="B62" s="211" t="s">
        <v>342</v>
      </c>
      <c r="C62" s="211" t="s">
        <v>311</v>
      </c>
      <c r="D62" s="307" t="s">
        <v>302</v>
      </c>
      <c r="E62" s="211" t="s">
        <v>315</v>
      </c>
      <c r="F62" s="211" t="s">
        <v>316</v>
      </c>
      <c r="G62" s="211" t="s">
        <v>317</v>
      </c>
      <c r="H62" s="305">
        <v>0.52083333333333337</v>
      </c>
      <c r="I62" s="211" t="s">
        <v>81</v>
      </c>
      <c r="J62" s="306">
        <v>2.5000000000000001E-3</v>
      </c>
      <c r="K62" s="211" t="s">
        <v>106</v>
      </c>
      <c r="L62" s="211" t="s">
        <v>79</v>
      </c>
      <c r="M62" s="211" t="s">
        <v>343</v>
      </c>
      <c r="N62" s="239">
        <v>44925</v>
      </c>
      <c r="O62" s="239">
        <v>45289</v>
      </c>
      <c r="P62" s="239">
        <v>45657</v>
      </c>
      <c r="Q62" s="239">
        <v>46022</v>
      </c>
      <c r="R62" s="306">
        <f>VLOOKUP($A62,[1]CATALOGO!$B$6:$P$182,R$3,0)</f>
        <v>2.9465624704256045E-3</v>
      </c>
    </row>
    <row r="63" spans="1:18" x14ac:dyDescent="0.35">
      <c r="A63" s="211" t="s">
        <v>87</v>
      </c>
      <c r="B63" s="211" t="s">
        <v>342</v>
      </c>
      <c r="C63" s="211" t="s">
        <v>309</v>
      </c>
      <c r="D63" s="307" t="s">
        <v>302</v>
      </c>
      <c r="E63" s="211" t="s">
        <v>315</v>
      </c>
      <c r="F63" s="211" t="s">
        <v>316</v>
      </c>
      <c r="G63" s="211" t="s">
        <v>317</v>
      </c>
      <c r="H63" s="305">
        <v>0.52083333333333337</v>
      </c>
      <c r="I63" s="211" t="s">
        <v>81</v>
      </c>
      <c r="J63" s="306">
        <v>1.7000000000000001E-2</v>
      </c>
      <c r="K63" s="211" t="s">
        <v>106</v>
      </c>
      <c r="L63" s="211" t="s">
        <v>79</v>
      </c>
      <c r="M63" s="211" t="s">
        <v>343</v>
      </c>
      <c r="N63" s="239">
        <v>44925</v>
      </c>
      <c r="O63" s="239">
        <v>45289</v>
      </c>
      <c r="P63" s="239">
        <v>45657</v>
      </c>
      <c r="Q63" s="239">
        <v>46022</v>
      </c>
      <c r="R63" s="306">
        <f>VLOOKUP($A63,[1]CATALOGO!$B$6:$P$182,R$3,0)</f>
        <v>1.7446562470425604E-2</v>
      </c>
    </row>
    <row r="64" spans="1:18" x14ac:dyDescent="0.35">
      <c r="A64" s="211" t="s">
        <v>88</v>
      </c>
      <c r="B64" s="211" t="s">
        <v>342</v>
      </c>
      <c r="C64" s="211" t="s">
        <v>301</v>
      </c>
      <c r="D64" s="307" t="s">
        <v>302</v>
      </c>
      <c r="E64" s="211" t="s">
        <v>315</v>
      </c>
      <c r="F64" s="211" t="s">
        <v>316</v>
      </c>
      <c r="G64" s="211" t="s">
        <v>317</v>
      </c>
      <c r="H64" s="305">
        <v>0.52083333333333337</v>
      </c>
      <c r="I64" s="211" t="s">
        <v>81</v>
      </c>
      <c r="J64" s="306">
        <v>2.0799999999999999E-2</v>
      </c>
      <c r="K64" s="211" t="s">
        <v>106</v>
      </c>
      <c r="L64" s="211" t="s">
        <v>79</v>
      </c>
      <c r="M64" s="211" t="s">
        <v>343</v>
      </c>
      <c r="N64" s="239">
        <v>44925</v>
      </c>
      <c r="O64" s="239">
        <v>45289</v>
      </c>
      <c r="P64" s="239">
        <v>45657</v>
      </c>
      <c r="Q64" s="239">
        <v>46022</v>
      </c>
      <c r="R64" s="306">
        <f>VLOOKUP($A64,[1]CATALOGO!$B$6:$P$182,R$3,0)</f>
        <v>2.1246562470425601E-2</v>
      </c>
    </row>
    <row r="65" spans="1:18" x14ac:dyDescent="0.35">
      <c r="A65" s="211" t="s">
        <v>89</v>
      </c>
      <c r="B65" s="211" t="s">
        <v>342</v>
      </c>
      <c r="C65" s="211" t="s">
        <v>301</v>
      </c>
      <c r="D65" s="307">
        <v>500000</v>
      </c>
      <c r="E65" s="211" t="s">
        <v>315</v>
      </c>
      <c r="F65" s="211" t="s">
        <v>316</v>
      </c>
      <c r="G65" s="211" t="s">
        <v>317</v>
      </c>
      <c r="H65" s="305">
        <v>0.52083333333333337</v>
      </c>
      <c r="I65" s="211" t="s">
        <v>81</v>
      </c>
      <c r="J65" s="306">
        <v>1.8200000000000001E-2</v>
      </c>
      <c r="K65" s="211" t="s">
        <v>106</v>
      </c>
      <c r="L65" s="211" t="s">
        <v>79</v>
      </c>
      <c r="M65" s="211" t="s">
        <v>343</v>
      </c>
      <c r="N65" s="239">
        <v>44925</v>
      </c>
      <c r="O65" s="239">
        <v>45289</v>
      </c>
      <c r="P65" s="239">
        <v>45657</v>
      </c>
      <c r="Q65" s="239">
        <v>46022</v>
      </c>
      <c r="R65" s="306">
        <f>VLOOKUP($A65,[1]CATALOGO!$B$6:$P$182,R$3,0)</f>
        <v>1.8646562470425603E-2</v>
      </c>
    </row>
    <row r="66" spans="1:18" x14ac:dyDescent="0.35">
      <c r="A66" s="211" t="s">
        <v>90</v>
      </c>
      <c r="B66" s="211" t="s">
        <v>342</v>
      </c>
      <c r="C66" s="211" t="s">
        <v>301</v>
      </c>
      <c r="D66" s="307">
        <v>2000000</v>
      </c>
      <c r="E66" s="211" t="s">
        <v>315</v>
      </c>
      <c r="F66" s="211" t="s">
        <v>316</v>
      </c>
      <c r="G66" s="211" t="s">
        <v>317</v>
      </c>
      <c r="H66" s="305">
        <v>0.52083333333333337</v>
      </c>
      <c r="I66" s="211" t="s">
        <v>81</v>
      </c>
      <c r="J66" s="306">
        <v>1.5699999999999999E-2</v>
      </c>
      <c r="K66" s="211" t="s">
        <v>106</v>
      </c>
      <c r="L66" s="211" t="s">
        <v>79</v>
      </c>
      <c r="M66" s="211" t="s">
        <v>343</v>
      </c>
      <c r="N66" s="239">
        <v>44925</v>
      </c>
      <c r="O66" s="239">
        <v>45289</v>
      </c>
      <c r="P66" s="239">
        <v>45657</v>
      </c>
      <c r="Q66" s="239">
        <v>46022</v>
      </c>
      <c r="R66" s="306">
        <f>VLOOKUP($A66,[1]CATALOGO!$B$6:$P$182,R$3,0)</f>
        <v>1.6146562470425601E-2</v>
      </c>
    </row>
    <row r="67" spans="1:18" x14ac:dyDescent="0.35">
      <c r="A67" s="211" t="s">
        <v>91</v>
      </c>
      <c r="B67" s="211" t="s">
        <v>342</v>
      </c>
      <c r="C67" s="211" t="s">
        <v>314</v>
      </c>
      <c r="D67" s="307" t="s">
        <v>302</v>
      </c>
      <c r="E67" s="211" t="s">
        <v>315</v>
      </c>
      <c r="F67" s="211" t="s">
        <v>316</v>
      </c>
      <c r="G67" s="211" t="s">
        <v>317</v>
      </c>
      <c r="H67" s="305">
        <v>0.52083333333333337</v>
      </c>
      <c r="I67" s="211" t="s">
        <v>81</v>
      </c>
      <c r="J67" s="306">
        <v>1.3699999999999999E-2</v>
      </c>
      <c r="K67" s="211" t="s">
        <v>106</v>
      </c>
      <c r="L67" s="211" t="s">
        <v>79</v>
      </c>
      <c r="M67" s="211" t="s">
        <v>343</v>
      </c>
      <c r="N67" s="239">
        <v>44925</v>
      </c>
      <c r="O67" s="239">
        <v>45289</v>
      </c>
      <c r="P67" s="239">
        <v>45657</v>
      </c>
      <c r="Q67" s="239">
        <v>46022</v>
      </c>
      <c r="R67" s="306">
        <f>VLOOKUP($A67,[1]CATALOGO!$B$6:$P$182,R$3,0)</f>
        <v>1.4146562470425603E-2</v>
      </c>
    </row>
    <row r="68" spans="1:18" x14ac:dyDescent="0.35">
      <c r="A68" s="211" t="s">
        <v>92</v>
      </c>
      <c r="B68" s="211" t="s">
        <v>342</v>
      </c>
      <c r="C68" s="211" t="s">
        <v>313</v>
      </c>
      <c r="D68" s="307" t="s">
        <v>302</v>
      </c>
      <c r="E68" s="211" t="s">
        <v>315</v>
      </c>
      <c r="F68" s="211" t="s">
        <v>316</v>
      </c>
      <c r="G68" s="211" t="s">
        <v>317</v>
      </c>
      <c r="H68" s="305">
        <v>0.52083333333333337</v>
      </c>
      <c r="I68" s="211" t="s">
        <v>81</v>
      </c>
      <c r="J68" s="306">
        <v>1.7000000000000001E-2</v>
      </c>
      <c r="K68" s="211" t="s">
        <v>106</v>
      </c>
      <c r="L68" s="211" t="s">
        <v>79</v>
      </c>
      <c r="M68" s="211" t="s">
        <v>343</v>
      </c>
      <c r="N68" s="239">
        <v>44925</v>
      </c>
      <c r="O68" s="239">
        <v>45289</v>
      </c>
      <c r="P68" s="239">
        <v>45657</v>
      </c>
      <c r="Q68" s="239">
        <v>46022</v>
      </c>
      <c r="R68" s="306">
        <f>VLOOKUP($A68,[1]CATALOGO!$B$6:$P$182,R$3,0)</f>
        <v>1.7446562470425604E-2</v>
      </c>
    </row>
    <row r="69" spans="1:18" x14ac:dyDescent="0.35">
      <c r="A69" s="211" t="s">
        <v>93</v>
      </c>
      <c r="B69" s="211" t="s">
        <v>342</v>
      </c>
      <c r="C69" s="211" t="s">
        <v>313</v>
      </c>
      <c r="D69" s="307">
        <v>500000</v>
      </c>
      <c r="E69" s="211" t="s">
        <v>315</v>
      </c>
      <c r="F69" s="211" t="s">
        <v>316</v>
      </c>
      <c r="G69" s="211" t="s">
        <v>317</v>
      </c>
      <c r="H69" s="305">
        <v>0.52083333333333337</v>
      </c>
      <c r="I69" s="211" t="s">
        <v>81</v>
      </c>
      <c r="J69" s="306">
        <v>1.4800000000000001E-2</v>
      </c>
      <c r="K69" s="211" t="s">
        <v>106</v>
      </c>
      <c r="L69" s="211" t="s">
        <v>79</v>
      </c>
      <c r="M69" s="211" t="s">
        <v>343</v>
      </c>
      <c r="N69" s="239">
        <v>44925</v>
      </c>
      <c r="O69" s="239">
        <v>45289</v>
      </c>
      <c r="P69" s="239">
        <v>45657</v>
      </c>
      <c r="Q69" s="239">
        <v>46022</v>
      </c>
      <c r="R69" s="306">
        <f>VLOOKUP($A69,[1]CATALOGO!$B$6:$P$182,R$3,0)</f>
        <v>1.5246562470425605E-2</v>
      </c>
    </row>
    <row r="70" spans="1:18" x14ac:dyDescent="0.35">
      <c r="A70" s="211" t="s">
        <v>94</v>
      </c>
      <c r="B70" s="211" t="s">
        <v>342</v>
      </c>
      <c r="C70" s="211" t="s">
        <v>313</v>
      </c>
      <c r="D70" s="307">
        <v>2000000</v>
      </c>
      <c r="E70" s="211" t="s">
        <v>315</v>
      </c>
      <c r="F70" s="211" t="s">
        <v>316</v>
      </c>
      <c r="G70" s="211" t="s">
        <v>317</v>
      </c>
      <c r="H70" s="305">
        <v>0.52083333333333337</v>
      </c>
      <c r="I70" s="211" t="s">
        <v>81</v>
      </c>
      <c r="J70" s="306">
        <v>1.26E-2</v>
      </c>
      <c r="K70" s="211" t="s">
        <v>106</v>
      </c>
      <c r="L70" s="211" t="s">
        <v>79</v>
      </c>
      <c r="M70" s="211" t="s">
        <v>343</v>
      </c>
      <c r="N70" s="239">
        <v>44925</v>
      </c>
      <c r="O70" s="239">
        <v>45289</v>
      </c>
      <c r="P70" s="239">
        <v>45657</v>
      </c>
      <c r="Q70" s="239">
        <v>46022</v>
      </c>
      <c r="R70" s="306">
        <f>VLOOKUP($A70,[1]CATALOGO!$B$6:$P$182,R$3,0)</f>
        <v>1.3046562470425604E-2</v>
      </c>
    </row>
    <row r="71" spans="1:18" x14ac:dyDescent="0.35">
      <c r="A71" s="211" t="s">
        <v>95</v>
      </c>
      <c r="B71" s="211" t="s">
        <v>344</v>
      </c>
      <c r="C71" s="211" t="s">
        <v>312</v>
      </c>
      <c r="D71" s="307" t="s">
        <v>302</v>
      </c>
      <c r="E71" s="211" t="s">
        <v>315</v>
      </c>
      <c r="F71" s="211" t="s">
        <v>316</v>
      </c>
      <c r="G71" s="211" t="s">
        <v>317</v>
      </c>
      <c r="H71" s="305">
        <v>0.52083333333333337</v>
      </c>
      <c r="I71" s="211" t="s">
        <v>81</v>
      </c>
      <c r="J71" s="306">
        <v>1.6E-2</v>
      </c>
      <c r="K71" s="211" t="s">
        <v>106</v>
      </c>
      <c r="L71" s="211" t="s">
        <v>79</v>
      </c>
      <c r="M71" s="211" t="s">
        <v>345</v>
      </c>
      <c r="N71" s="239">
        <v>44925</v>
      </c>
      <c r="O71" s="239">
        <v>45289</v>
      </c>
      <c r="P71" s="239">
        <v>45657</v>
      </c>
      <c r="Q71" s="239">
        <v>46022</v>
      </c>
      <c r="R71" s="306">
        <f>VLOOKUP($A71,[1]CATALOGO!$B$6:$P$182,R$3,0)</f>
        <v>1.6475668418242714E-2</v>
      </c>
    </row>
    <row r="72" spans="1:18" x14ac:dyDescent="0.35">
      <c r="A72" s="211" t="s">
        <v>96</v>
      </c>
      <c r="B72" s="211" t="s">
        <v>344</v>
      </c>
      <c r="C72" s="211" t="s">
        <v>312</v>
      </c>
      <c r="D72" s="307">
        <v>3000000</v>
      </c>
      <c r="E72" s="211" t="s">
        <v>315</v>
      </c>
      <c r="F72" s="211" t="s">
        <v>316</v>
      </c>
      <c r="G72" s="211" t="s">
        <v>317</v>
      </c>
      <c r="H72" s="305">
        <v>0.52083333333333337</v>
      </c>
      <c r="I72" s="211" t="s">
        <v>81</v>
      </c>
      <c r="J72" s="306">
        <v>1.3399999999999999E-2</v>
      </c>
      <c r="K72" s="211" t="s">
        <v>106</v>
      </c>
      <c r="L72" s="211" t="s">
        <v>79</v>
      </c>
      <c r="M72" s="211" t="s">
        <v>345</v>
      </c>
      <c r="N72" s="239">
        <v>44925</v>
      </c>
      <c r="O72" s="239">
        <v>45289</v>
      </c>
      <c r="P72" s="239">
        <v>45657</v>
      </c>
      <c r="Q72" s="239">
        <v>46022</v>
      </c>
      <c r="R72" s="306">
        <f>VLOOKUP($A72,[1]CATALOGO!$B$6:$P$182,R$3,0)</f>
        <v>1.3875668418242714E-2</v>
      </c>
    </row>
    <row r="73" spans="1:18" x14ac:dyDescent="0.35">
      <c r="A73" s="211" t="s">
        <v>97</v>
      </c>
      <c r="B73" s="211" t="s">
        <v>344</v>
      </c>
      <c r="C73" s="211" t="s">
        <v>311</v>
      </c>
      <c r="D73" s="307" t="s">
        <v>302</v>
      </c>
      <c r="E73" s="211" t="s">
        <v>315</v>
      </c>
      <c r="F73" s="211" t="s">
        <v>316</v>
      </c>
      <c r="G73" s="211" t="s">
        <v>317</v>
      </c>
      <c r="H73" s="305">
        <v>0.52083333333333337</v>
      </c>
      <c r="I73" s="211" t="s">
        <v>81</v>
      </c>
      <c r="J73" s="306">
        <v>2.5000000000000001E-3</v>
      </c>
      <c r="K73" s="211" t="s">
        <v>106</v>
      </c>
      <c r="L73" s="211" t="s">
        <v>79</v>
      </c>
      <c r="M73" s="211" t="s">
        <v>345</v>
      </c>
      <c r="N73" s="239">
        <v>44925</v>
      </c>
      <c r="O73" s="239">
        <v>45289</v>
      </c>
      <c r="P73" s="239">
        <v>45657</v>
      </c>
      <c r="Q73" s="239">
        <v>46022</v>
      </c>
      <c r="R73" s="306">
        <f>VLOOKUP($A73,[1]CATALOGO!$B$6:$P$182,R$3,0)</f>
        <v>2.9756684182427142E-3</v>
      </c>
    </row>
    <row r="74" spans="1:18" x14ac:dyDescent="0.35">
      <c r="A74" s="211" t="s">
        <v>98</v>
      </c>
      <c r="B74" s="211" t="s">
        <v>344</v>
      </c>
      <c r="C74" s="211" t="s">
        <v>309</v>
      </c>
      <c r="D74" s="307" t="s">
        <v>302</v>
      </c>
      <c r="E74" s="211" t="s">
        <v>315</v>
      </c>
      <c r="F74" s="211" t="s">
        <v>316</v>
      </c>
      <c r="G74" s="211" t="s">
        <v>317</v>
      </c>
      <c r="H74" s="305">
        <v>0.52083333333333337</v>
      </c>
      <c r="I74" s="211" t="s">
        <v>81</v>
      </c>
      <c r="J74" s="306">
        <v>1.4700000000000001E-2</v>
      </c>
      <c r="K74" s="211" t="s">
        <v>106</v>
      </c>
      <c r="L74" s="211" t="s">
        <v>79</v>
      </c>
      <c r="M74" s="211" t="s">
        <v>345</v>
      </c>
      <c r="N74" s="239">
        <v>44925</v>
      </c>
      <c r="O74" s="239">
        <v>45289</v>
      </c>
      <c r="P74" s="239">
        <v>45657</v>
      </c>
      <c r="Q74" s="239">
        <v>46022</v>
      </c>
      <c r="R74" s="306">
        <f>VLOOKUP($A74,[1]CATALOGO!$B$6:$P$182,R$3,0)</f>
        <v>1.5175668418242716E-2</v>
      </c>
    </row>
    <row r="75" spans="1:18" x14ac:dyDescent="0.35">
      <c r="A75" s="211" t="s">
        <v>99</v>
      </c>
      <c r="B75" s="211" t="s">
        <v>344</v>
      </c>
      <c r="C75" s="211" t="s">
        <v>301</v>
      </c>
      <c r="D75" s="307" t="s">
        <v>302</v>
      </c>
      <c r="E75" s="211" t="s">
        <v>315</v>
      </c>
      <c r="F75" s="211" t="s">
        <v>316</v>
      </c>
      <c r="G75" s="211" t="s">
        <v>317</v>
      </c>
      <c r="H75" s="305">
        <v>0.52083333333333337</v>
      </c>
      <c r="I75" s="211" t="s">
        <v>81</v>
      </c>
      <c r="J75" s="306">
        <v>1.8600000000000002E-2</v>
      </c>
      <c r="K75" s="211" t="s">
        <v>106</v>
      </c>
      <c r="L75" s="211" t="s">
        <v>79</v>
      </c>
      <c r="M75" s="211" t="s">
        <v>345</v>
      </c>
      <c r="N75" s="239">
        <v>44925</v>
      </c>
      <c r="O75" s="239">
        <v>45289</v>
      </c>
      <c r="P75" s="239">
        <v>45657</v>
      </c>
      <c r="Q75" s="239">
        <v>46022</v>
      </c>
      <c r="R75" s="306">
        <f>VLOOKUP($A75,[1]CATALOGO!$B$6:$P$182,R$3,0)</f>
        <v>1.9075668418242715E-2</v>
      </c>
    </row>
    <row r="76" spans="1:18" x14ac:dyDescent="0.35">
      <c r="A76" s="211" t="s">
        <v>100</v>
      </c>
      <c r="B76" s="211" t="s">
        <v>344</v>
      </c>
      <c r="C76" s="211" t="s">
        <v>301</v>
      </c>
      <c r="D76" s="307">
        <v>500000</v>
      </c>
      <c r="E76" s="211" t="s">
        <v>315</v>
      </c>
      <c r="F76" s="211" t="s">
        <v>316</v>
      </c>
      <c r="G76" s="211" t="s">
        <v>317</v>
      </c>
      <c r="H76" s="305">
        <v>0.52083333333333337</v>
      </c>
      <c r="I76" s="211" t="s">
        <v>81</v>
      </c>
      <c r="J76" s="306">
        <v>1.6E-2</v>
      </c>
      <c r="K76" s="211" t="s">
        <v>106</v>
      </c>
      <c r="L76" s="211" t="s">
        <v>79</v>
      </c>
      <c r="M76" s="211" t="s">
        <v>345</v>
      </c>
      <c r="N76" s="239">
        <v>44925</v>
      </c>
      <c r="O76" s="239">
        <v>45289</v>
      </c>
      <c r="P76" s="239">
        <v>45657</v>
      </c>
      <c r="Q76" s="239">
        <v>46022</v>
      </c>
      <c r="R76" s="306">
        <f>VLOOKUP($A76,[1]CATALOGO!$B$6:$P$182,R$3,0)</f>
        <v>1.6475668418242714E-2</v>
      </c>
    </row>
    <row r="77" spans="1:18" x14ac:dyDescent="0.35">
      <c r="A77" s="211" t="s">
        <v>101</v>
      </c>
      <c r="B77" s="211" t="s">
        <v>344</v>
      </c>
      <c r="C77" s="211" t="s">
        <v>301</v>
      </c>
      <c r="D77" s="307">
        <v>2000000</v>
      </c>
      <c r="E77" s="211" t="s">
        <v>315</v>
      </c>
      <c r="F77" s="211" t="s">
        <v>316</v>
      </c>
      <c r="G77" s="211" t="s">
        <v>317</v>
      </c>
      <c r="H77" s="305">
        <v>0.52083333333333337</v>
      </c>
      <c r="I77" s="211" t="s">
        <v>81</v>
      </c>
      <c r="J77" s="306">
        <v>1.3399999999999999E-2</v>
      </c>
      <c r="K77" s="211" t="s">
        <v>106</v>
      </c>
      <c r="L77" s="211" t="s">
        <v>79</v>
      </c>
      <c r="M77" s="211" t="s">
        <v>345</v>
      </c>
      <c r="N77" s="239">
        <v>44925</v>
      </c>
      <c r="O77" s="239">
        <v>45289</v>
      </c>
      <c r="P77" s="239">
        <v>45657</v>
      </c>
      <c r="Q77" s="239">
        <v>46022</v>
      </c>
      <c r="R77" s="306">
        <f>VLOOKUP($A77,[1]CATALOGO!$B$6:$P$182,R$3,0)</f>
        <v>1.3875668418242714E-2</v>
      </c>
    </row>
    <row r="78" spans="1:18" x14ac:dyDescent="0.35">
      <c r="A78" s="211" t="s">
        <v>102</v>
      </c>
      <c r="B78" s="211" t="s">
        <v>344</v>
      </c>
      <c r="C78" s="211" t="s">
        <v>314</v>
      </c>
      <c r="D78" s="307" t="s">
        <v>302</v>
      </c>
      <c r="E78" s="211" t="s">
        <v>315</v>
      </c>
      <c r="F78" s="211" t="s">
        <v>316</v>
      </c>
      <c r="G78" s="211" t="s">
        <v>317</v>
      </c>
      <c r="H78" s="305">
        <v>0.52083333333333337</v>
      </c>
      <c r="I78" s="211" t="s">
        <v>81</v>
      </c>
      <c r="J78" s="306">
        <v>1.14E-2</v>
      </c>
      <c r="K78" s="211" t="s">
        <v>106</v>
      </c>
      <c r="L78" s="211" t="s">
        <v>79</v>
      </c>
      <c r="M78" s="211" t="s">
        <v>345</v>
      </c>
      <c r="N78" s="239">
        <v>44925</v>
      </c>
      <c r="O78" s="239">
        <v>45289</v>
      </c>
      <c r="P78" s="239">
        <v>45657</v>
      </c>
      <c r="Q78" s="239">
        <v>46022</v>
      </c>
      <c r="R78" s="306">
        <f>VLOOKUP($A78,[1]CATALOGO!$B$6:$P$182,R$3,0)</f>
        <v>1.1875668418242715E-2</v>
      </c>
    </row>
    <row r="79" spans="1:18" x14ac:dyDescent="0.35">
      <c r="A79" s="211" t="s">
        <v>103</v>
      </c>
      <c r="B79" s="211" t="s">
        <v>344</v>
      </c>
      <c r="C79" s="211" t="s">
        <v>313</v>
      </c>
      <c r="D79" s="307" t="s">
        <v>302</v>
      </c>
      <c r="E79" s="211" t="s">
        <v>315</v>
      </c>
      <c r="F79" s="211" t="s">
        <v>316</v>
      </c>
      <c r="G79" s="211" t="s">
        <v>317</v>
      </c>
      <c r="H79" s="305">
        <v>0.52083333333333337</v>
      </c>
      <c r="I79" s="211" t="s">
        <v>81</v>
      </c>
      <c r="J79" s="306">
        <v>1.4700000000000001E-2</v>
      </c>
      <c r="K79" s="211" t="s">
        <v>106</v>
      </c>
      <c r="L79" s="211" t="s">
        <v>79</v>
      </c>
      <c r="M79" s="211" t="s">
        <v>345</v>
      </c>
      <c r="N79" s="239">
        <v>44925</v>
      </c>
      <c r="O79" s="239">
        <v>45289</v>
      </c>
      <c r="P79" s="239">
        <v>45657</v>
      </c>
      <c r="Q79" s="239">
        <v>46022</v>
      </c>
      <c r="R79" s="306">
        <f>VLOOKUP($A79,[1]CATALOGO!$B$6:$P$182,R$3,0)</f>
        <v>1.5175668418242716E-2</v>
      </c>
    </row>
    <row r="80" spans="1:18" x14ac:dyDescent="0.35">
      <c r="A80" s="211" t="s">
        <v>104</v>
      </c>
      <c r="B80" s="211" t="s">
        <v>344</v>
      </c>
      <c r="C80" s="211" t="s">
        <v>313</v>
      </c>
      <c r="D80" s="307">
        <v>500000</v>
      </c>
      <c r="E80" s="211" t="s">
        <v>315</v>
      </c>
      <c r="F80" s="211" t="s">
        <v>316</v>
      </c>
      <c r="G80" s="211" t="s">
        <v>317</v>
      </c>
      <c r="H80" s="305">
        <v>0.52083333333333337</v>
      </c>
      <c r="I80" s="211" t="s">
        <v>81</v>
      </c>
      <c r="J80" s="306">
        <v>1.2500000000000001E-2</v>
      </c>
      <c r="K80" s="211" t="s">
        <v>106</v>
      </c>
      <c r="L80" s="211" t="s">
        <v>79</v>
      </c>
      <c r="M80" s="211" t="s">
        <v>345</v>
      </c>
      <c r="N80" s="239">
        <v>44925</v>
      </c>
      <c r="O80" s="239">
        <v>45289</v>
      </c>
      <c r="P80" s="239">
        <v>45657</v>
      </c>
      <c r="Q80" s="239">
        <v>46022</v>
      </c>
      <c r="R80" s="306">
        <f>VLOOKUP($A80,[1]CATALOGO!$B$6:$P$182,R$3,0)</f>
        <v>1.2975668418242716E-2</v>
      </c>
    </row>
    <row r="81" spans="1:18" x14ac:dyDescent="0.35">
      <c r="A81" s="211" t="s">
        <v>105</v>
      </c>
      <c r="B81" s="211" t="s">
        <v>344</v>
      </c>
      <c r="C81" s="211" t="s">
        <v>313</v>
      </c>
      <c r="D81" s="307">
        <v>2000000</v>
      </c>
      <c r="E81" s="211" t="s">
        <v>315</v>
      </c>
      <c r="F81" s="211" t="s">
        <v>316</v>
      </c>
      <c r="G81" s="211" t="s">
        <v>317</v>
      </c>
      <c r="H81" s="305">
        <v>0.52083333333333337</v>
      </c>
      <c r="I81" s="211" t="s">
        <v>81</v>
      </c>
      <c r="J81" s="306">
        <v>1.03E-2</v>
      </c>
      <c r="K81" s="211" t="s">
        <v>106</v>
      </c>
      <c r="L81" s="211" t="s">
        <v>79</v>
      </c>
      <c r="M81" s="211" t="s">
        <v>345</v>
      </c>
      <c r="N81" s="239">
        <v>44925</v>
      </c>
      <c r="O81" s="239">
        <v>45289</v>
      </c>
      <c r="P81" s="239">
        <v>45657</v>
      </c>
      <c r="Q81" s="239">
        <v>46022</v>
      </c>
      <c r="R81" s="306">
        <f>VLOOKUP($A81,[1]CATALOGO!$B$6:$P$182,R$3,0)</f>
        <v>1.0775668418242715E-2</v>
      </c>
    </row>
    <row r="82" spans="1:18" x14ac:dyDescent="0.35">
      <c r="A82" s="211" t="s">
        <v>114</v>
      </c>
      <c r="B82" s="211" t="s">
        <v>344</v>
      </c>
      <c r="C82" s="211" t="s">
        <v>312</v>
      </c>
      <c r="D82" s="307" t="s">
        <v>302</v>
      </c>
      <c r="E82" s="211" t="s">
        <v>303</v>
      </c>
      <c r="F82" s="211" t="s">
        <v>304</v>
      </c>
      <c r="G82" s="211" t="s">
        <v>317</v>
      </c>
      <c r="H82" s="305">
        <v>0.52083333333333337</v>
      </c>
      <c r="I82" s="211" t="s">
        <v>81</v>
      </c>
      <c r="J82" s="306">
        <v>1.6299999999999999E-2</v>
      </c>
      <c r="K82" s="211" t="s">
        <v>125</v>
      </c>
      <c r="L82" s="211" t="s">
        <v>79</v>
      </c>
      <c r="M82" s="211" t="s">
        <v>345</v>
      </c>
      <c r="N82" s="239">
        <v>44925</v>
      </c>
      <c r="O82" s="239">
        <v>45289</v>
      </c>
      <c r="P82" s="239">
        <v>45657</v>
      </c>
      <c r="Q82" s="239">
        <v>46022</v>
      </c>
      <c r="R82" s="306">
        <f>VLOOKUP($A82,[1]CATALOGO!$B$6:$P$182,R$3,0)</f>
        <v>1.7078620639750658E-2</v>
      </c>
    </row>
    <row r="83" spans="1:18" x14ac:dyDescent="0.35">
      <c r="A83" s="211" t="s">
        <v>115</v>
      </c>
      <c r="B83" s="211" t="s">
        <v>344</v>
      </c>
      <c r="C83" s="211" t="s">
        <v>312</v>
      </c>
      <c r="D83" s="307">
        <v>3000000</v>
      </c>
      <c r="E83" s="211" t="s">
        <v>303</v>
      </c>
      <c r="F83" s="211" t="s">
        <v>304</v>
      </c>
      <c r="G83" s="211" t="s">
        <v>317</v>
      </c>
      <c r="H83" s="305">
        <v>0.52083333333333337</v>
      </c>
      <c r="I83" s="211" t="s">
        <v>81</v>
      </c>
      <c r="J83" s="306">
        <v>1.38E-2</v>
      </c>
      <c r="K83" s="211" t="s">
        <v>125</v>
      </c>
      <c r="L83" s="211" t="s">
        <v>79</v>
      </c>
      <c r="M83" s="211" t="s">
        <v>345</v>
      </c>
      <c r="N83" s="239">
        <v>44925</v>
      </c>
      <c r="O83" s="239">
        <v>45289</v>
      </c>
      <c r="P83" s="239">
        <v>45657</v>
      </c>
      <c r="Q83" s="239">
        <v>46022</v>
      </c>
      <c r="R83" s="306">
        <f>VLOOKUP($A83,[1]CATALOGO!$B$6:$P$182,R$3,0)</f>
        <v>1.4578620639750657E-2</v>
      </c>
    </row>
    <row r="84" spans="1:18" x14ac:dyDescent="0.35">
      <c r="A84" s="211" t="s">
        <v>116</v>
      </c>
      <c r="B84" s="211" t="s">
        <v>344</v>
      </c>
      <c r="C84" s="211" t="s">
        <v>311</v>
      </c>
      <c r="D84" s="307" t="s">
        <v>302</v>
      </c>
      <c r="E84" s="211" t="s">
        <v>303</v>
      </c>
      <c r="F84" s="211" t="s">
        <v>304</v>
      </c>
      <c r="G84" s="211" t="s">
        <v>317</v>
      </c>
      <c r="H84" s="305">
        <v>0.52083333333333337</v>
      </c>
      <c r="I84" s="211" t="s">
        <v>81</v>
      </c>
      <c r="J84" s="306">
        <v>2.5000000000000001E-3</v>
      </c>
      <c r="K84" s="211" t="s">
        <v>125</v>
      </c>
      <c r="L84" s="211" t="s">
        <v>79</v>
      </c>
      <c r="M84" s="211" t="s">
        <v>345</v>
      </c>
      <c r="N84" s="239">
        <v>44925</v>
      </c>
      <c r="O84" s="239">
        <v>45289</v>
      </c>
      <c r="P84" s="239">
        <v>45657</v>
      </c>
      <c r="Q84" s="239">
        <v>46022</v>
      </c>
      <c r="R84" s="306">
        <f>VLOOKUP($A84,[1]CATALOGO!$B$6:$P$182,R$3,0)</f>
        <v>3.2786206397506582E-3</v>
      </c>
    </row>
    <row r="85" spans="1:18" x14ac:dyDescent="0.35">
      <c r="A85" s="211" t="s">
        <v>117</v>
      </c>
      <c r="B85" s="211" t="s">
        <v>344</v>
      </c>
      <c r="C85" s="211" t="s">
        <v>309</v>
      </c>
      <c r="D85" s="307" t="s">
        <v>302</v>
      </c>
      <c r="E85" s="211" t="s">
        <v>303</v>
      </c>
      <c r="F85" s="211" t="s">
        <v>304</v>
      </c>
      <c r="G85" s="211" t="s">
        <v>317</v>
      </c>
      <c r="H85" s="305">
        <v>0.52083333333333337</v>
      </c>
      <c r="I85" s="211" t="s">
        <v>81</v>
      </c>
      <c r="J85" s="306">
        <v>1.5000000000000001E-2</v>
      </c>
      <c r="K85" s="211" t="s">
        <v>125</v>
      </c>
      <c r="L85" s="211" t="s">
        <v>79</v>
      </c>
      <c r="M85" s="211" t="s">
        <v>345</v>
      </c>
      <c r="N85" s="239">
        <v>44925</v>
      </c>
      <c r="O85" s="239">
        <v>45289</v>
      </c>
      <c r="P85" s="239">
        <v>45657</v>
      </c>
      <c r="Q85" s="239">
        <v>46022</v>
      </c>
      <c r="R85" s="306">
        <f>VLOOKUP($A85,[1]CATALOGO!$B$6:$P$182,R$3,0)</f>
        <v>1.5778620639750659E-2</v>
      </c>
    </row>
    <row r="86" spans="1:18" x14ac:dyDescent="0.35">
      <c r="A86" s="211" t="s">
        <v>118</v>
      </c>
      <c r="B86" s="211" t="s">
        <v>344</v>
      </c>
      <c r="C86" s="211" t="s">
        <v>301</v>
      </c>
      <c r="D86" s="307" t="s">
        <v>302</v>
      </c>
      <c r="E86" s="211" t="s">
        <v>303</v>
      </c>
      <c r="F86" s="211" t="s">
        <v>304</v>
      </c>
      <c r="G86" s="211" t="s">
        <v>317</v>
      </c>
      <c r="H86" s="305">
        <v>0.52083333333333337</v>
      </c>
      <c r="I86" s="211" t="s">
        <v>81</v>
      </c>
      <c r="J86" s="306">
        <v>1.89E-2</v>
      </c>
      <c r="K86" s="211" t="s">
        <v>125</v>
      </c>
      <c r="L86" s="211" t="s">
        <v>79</v>
      </c>
      <c r="M86" s="211" t="s">
        <v>345</v>
      </c>
      <c r="N86" s="239">
        <v>44925</v>
      </c>
      <c r="O86" s="239">
        <v>45289</v>
      </c>
      <c r="P86" s="239">
        <v>45657</v>
      </c>
      <c r="Q86" s="239">
        <v>46022</v>
      </c>
      <c r="R86" s="306">
        <f>VLOOKUP($A86,[1]CATALOGO!$B$6:$P$182,R$3,0)</f>
        <v>1.967862063975066E-2</v>
      </c>
    </row>
    <row r="87" spans="1:18" x14ac:dyDescent="0.35">
      <c r="A87" s="211" t="s">
        <v>119</v>
      </c>
      <c r="B87" s="211" t="s">
        <v>344</v>
      </c>
      <c r="C87" s="211" t="s">
        <v>301</v>
      </c>
      <c r="D87" s="307">
        <v>500000</v>
      </c>
      <c r="E87" s="211" t="s">
        <v>303</v>
      </c>
      <c r="F87" s="211" t="s">
        <v>304</v>
      </c>
      <c r="G87" s="211" t="s">
        <v>317</v>
      </c>
      <c r="H87" s="305">
        <v>0.52083333333333337</v>
      </c>
      <c r="I87" s="211" t="s">
        <v>81</v>
      </c>
      <c r="J87" s="306">
        <v>1.6299999999999999E-2</v>
      </c>
      <c r="K87" s="211" t="s">
        <v>125</v>
      </c>
      <c r="L87" s="211" t="s">
        <v>79</v>
      </c>
      <c r="M87" s="211" t="s">
        <v>345</v>
      </c>
      <c r="N87" s="239">
        <v>44925</v>
      </c>
      <c r="O87" s="239">
        <v>45289</v>
      </c>
      <c r="P87" s="239">
        <v>45657</v>
      </c>
      <c r="Q87" s="239">
        <v>46022</v>
      </c>
      <c r="R87" s="306">
        <f>VLOOKUP($A87,[1]CATALOGO!$B$6:$P$182,R$3,0)</f>
        <v>1.7078620639750658E-2</v>
      </c>
    </row>
    <row r="88" spans="1:18" x14ac:dyDescent="0.35">
      <c r="A88" s="211" t="s">
        <v>120</v>
      </c>
      <c r="B88" s="211" t="s">
        <v>344</v>
      </c>
      <c r="C88" s="211" t="s">
        <v>301</v>
      </c>
      <c r="D88" s="307">
        <v>2000000</v>
      </c>
      <c r="E88" s="211" t="s">
        <v>303</v>
      </c>
      <c r="F88" s="211" t="s">
        <v>304</v>
      </c>
      <c r="G88" s="211" t="s">
        <v>317</v>
      </c>
      <c r="H88" s="305">
        <v>0.52083333333333337</v>
      </c>
      <c r="I88" s="211" t="s">
        <v>81</v>
      </c>
      <c r="J88" s="306">
        <v>1.38E-2</v>
      </c>
      <c r="K88" s="211" t="s">
        <v>125</v>
      </c>
      <c r="L88" s="211" t="s">
        <v>79</v>
      </c>
      <c r="M88" s="211" t="s">
        <v>345</v>
      </c>
      <c r="N88" s="239">
        <v>44925</v>
      </c>
      <c r="O88" s="239">
        <v>45289</v>
      </c>
      <c r="P88" s="239">
        <v>45657</v>
      </c>
      <c r="Q88" s="239">
        <v>46022</v>
      </c>
      <c r="R88" s="306">
        <f>VLOOKUP($A88,[1]CATALOGO!$B$6:$P$182,R$3,0)</f>
        <v>1.4578620639750657E-2</v>
      </c>
    </row>
    <row r="89" spans="1:18" x14ac:dyDescent="0.35">
      <c r="A89" s="211" t="s">
        <v>121</v>
      </c>
      <c r="B89" s="211" t="s">
        <v>344</v>
      </c>
      <c r="C89" s="211" t="s">
        <v>314</v>
      </c>
      <c r="D89" s="307" t="s">
        <v>302</v>
      </c>
      <c r="E89" s="211" t="s">
        <v>303</v>
      </c>
      <c r="F89" s="211" t="s">
        <v>304</v>
      </c>
      <c r="G89" s="211" t="s">
        <v>317</v>
      </c>
      <c r="H89" s="305">
        <v>0.52083333333333337</v>
      </c>
      <c r="I89" s="211" t="s">
        <v>81</v>
      </c>
      <c r="J89" s="306">
        <v>1.18E-2</v>
      </c>
      <c r="K89" s="211" t="s">
        <v>125</v>
      </c>
      <c r="L89" s="211" t="s">
        <v>79</v>
      </c>
      <c r="M89" s="211" t="s">
        <v>345</v>
      </c>
      <c r="N89" s="239">
        <v>44925</v>
      </c>
      <c r="O89" s="239">
        <v>45289</v>
      </c>
      <c r="P89" s="239">
        <v>45657</v>
      </c>
      <c r="Q89" s="239">
        <v>46022</v>
      </c>
      <c r="R89" s="306">
        <f>VLOOKUP($A89,[1]CATALOGO!$B$6:$P$182,R$3,0)</f>
        <v>1.2578620639750657E-2</v>
      </c>
    </row>
    <row r="90" spans="1:18" x14ac:dyDescent="0.35">
      <c r="A90" s="211" t="s">
        <v>122</v>
      </c>
      <c r="B90" s="211" t="s">
        <v>344</v>
      </c>
      <c r="C90" s="211" t="s">
        <v>313</v>
      </c>
      <c r="D90" s="307" t="s">
        <v>302</v>
      </c>
      <c r="E90" s="211" t="s">
        <v>303</v>
      </c>
      <c r="F90" s="211" t="s">
        <v>304</v>
      </c>
      <c r="G90" s="211" t="s">
        <v>317</v>
      </c>
      <c r="H90" s="305">
        <v>0.52083333333333337</v>
      </c>
      <c r="I90" s="211" t="s">
        <v>81</v>
      </c>
      <c r="J90" s="306">
        <v>1.5000000000000001E-2</v>
      </c>
      <c r="K90" s="211" t="s">
        <v>125</v>
      </c>
      <c r="L90" s="211" t="s">
        <v>79</v>
      </c>
      <c r="M90" s="211" t="s">
        <v>345</v>
      </c>
      <c r="N90" s="239">
        <v>44925</v>
      </c>
      <c r="O90" s="239">
        <v>45289</v>
      </c>
      <c r="P90" s="239">
        <v>45657</v>
      </c>
      <c r="Q90" s="239">
        <v>46022</v>
      </c>
      <c r="R90" s="306">
        <f>VLOOKUP($A90,[1]CATALOGO!$B$6:$P$182,R$3,0)</f>
        <v>1.5778620639750659E-2</v>
      </c>
    </row>
    <row r="91" spans="1:18" x14ac:dyDescent="0.35">
      <c r="A91" s="211" t="s">
        <v>123</v>
      </c>
      <c r="B91" s="211" t="s">
        <v>344</v>
      </c>
      <c r="C91" s="211" t="s">
        <v>313</v>
      </c>
      <c r="D91" s="307">
        <v>500000</v>
      </c>
      <c r="E91" s="211" t="s">
        <v>303</v>
      </c>
      <c r="F91" s="211" t="s">
        <v>304</v>
      </c>
      <c r="G91" s="211" t="s">
        <v>317</v>
      </c>
      <c r="H91" s="305">
        <v>0.52083333333333337</v>
      </c>
      <c r="I91" s="211" t="s">
        <v>81</v>
      </c>
      <c r="J91" s="306">
        <v>1.2900000000000002E-2</v>
      </c>
      <c r="K91" s="211" t="s">
        <v>125</v>
      </c>
      <c r="L91" s="211" t="s">
        <v>79</v>
      </c>
      <c r="M91" s="211" t="s">
        <v>345</v>
      </c>
      <c r="N91" s="239">
        <v>44925</v>
      </c>
      <c r="O91" s="239">
        <v>45289</v>
      </c>
      <c r="P91" s="239">
        <v>45657</v>
      </c>
      <c r="Q91" s="239">
        <v>46022</v>
      </c>
      <c r="R91" s="306">
        <f>VLOOKUP($A91,[1]CATALOGO!$B$6:$P$182,R$3,0)</f>
        <v>1.3678620639750659E-2</v>
      </c>
    </row>
    <row r="92" spans="1:18" x14ac:dyDescent="0.35">
      <c r="A92" s="211" t="s">
        <v>124</v>
      </c>
      <c r="B92" s="211" t="s">
        <v>344</v>
      </c>
      <c r="C92" s="211" t="s">
        <v>313</v>
      </c>
      <c r="D92" s="307">
        <v>2000000</v>
      </c>
      <c r="E92" s="211" t="s">
        <v>303</v>
      </c>
      <c r="F92" s="211" t="s">
        <v>304</v>
      </c>
      <c r="G92" s="211" t="s">
        <v>317</v>
      </c>
      <c r="H92" s="305">
        <v>0.52083333333333337</v>
      </c>
      <c r="I92" s="211" t="s">
        <v>81</v>
      </c>
      <c r="J92" s="306">
        <v>1.0699999999999999E-2</v>
      </c>
      <c r="K92" s="211" t="s">
        <v>125</v>
      </c>
      <c r="L92" s="211" t="s">
        <v>79</v>
      </c>
      <c r="M92" s="211" t="s">
        <v>345</v>
      </c>
      <c r="N92" s="239">
        <v>44925</v>
      </c>
      <c r="O92" s="239">
        <v>45289</v>
      </c>
      <c r="P92" s="239">
        <v>45657</v>
      </c>
      <c r="Q92" s="239">
        <v>46022</v>
      </c>
      <c r="R92" s="306">
        <f>VLOOKUP($A92,[1]CATALOGO!$B$6:$P$182,R$3,0)</f>
        <v>1.1478620639750657E-2</v>
      </c>
    </row>
    <row r="93" spans="1:18" x14ac:dyDescent="0.35">
      <c r="A93" s="211" t="s">
        <v>214</v>
      </c>
      <c r="B93" s="211" t="s">
        <v>346</v>
      </c>
      <c r="C93" s="211" t="s">
        <v>312</v>
      </c>
      <c r="D93" s="307" t="s">
        <v>302</v>
      </c>
      <c r="E93" s="211" t="s">
        <v>315</v>
      </c>
      <c r="F93" s="211" t="s">
        <v>304</v>
      </c>
      <c r="G93" s="211" t="s">
        <v>326</v>
      </c>
      <c r="H93" s="305" t="s">
        <v>327</v>
      </c>
      <c r="I93" s="211" t="s">
        <v>81</v>
      </c>
      <c r="J93" s="306">
        <v>1.8000000000000002E-2</v>
      </c>
      <c r="K93" s="211" t="s">
        <v>221</v>
      </c>
      <c r="L93" s="211" t="s">
        <v>79</v>
      </c>
      <c r="M93" s="211" t="s">
        <v>347</v>
      </c>
      <c r="N93" s="239">
        <v>44925</v>
      </c>
      <c r="O93" s="239">
        <v>45289</v>
      </c>
      <c r="P93" s="239">
        <v>45657</v>
      </c>
      <c r="Q93" s="239">
        <v>46022</v>
      </c>
      <c r="R93" s="306">
        <f>VLOOKUP($A93,[1]CATALOGO!$B$6:$P$182,R$3,0)</f>
        <v>1.8439968479157829E-2</v>
      </c>
    </row>
    <row r="94" spans="1:18" x14ac:dyDescent="0.35">
      <c r="A94" s="211" t="s">
        <v>215</v>
      </c>
      <c r="B94" s="211" t="s">
        <v>346</v>
      </c>
      <c r="C94" s="211" t="s">
        <v>301</v>
      </c>
      <c r="D94" s="307" t="s">
        <v>302</v>
      </c>
      <c r="E94" s="211" t="s">
        <v>315</v>
      </c>
      <c r="F94" s="211" t="s">
        <v>304</v>
      </c>
      <c r="G94" s="211" t="s">
        <v>326</v>
      </c>
      <c r="H94" s="305" t="s">
        <v>327</v>
      </c>
      <c r="I94" s="211" t="s">
        <v>81</v>
      </c>
      <c r="J94" s="306">
        <v>1.8000000000000002E-2</v>
      </c>
      <c r="K94" s="211" t="s">
        <v>221</v>
      </c>
      <c r="L94" s="211" t="s">
        <v>79</v>
      </c>
      <c r="M94" s="211" t="s">
        <v>347</v>
      </c>
      <c r="N94" s="239">
        <v>44925</v>
      </c>
      <c r="O94" s="239">
        <v>45289</v>
      </c>
      <c r="P94" s="239">
        <v>45657</v>
      </c>
      <c r="Q94" s="239">
        <v>46022</v>
      </c>
      <c r="R94" s="306">
        <f>VLOOKUP($A94,[1]CATALOGO!$B$6:$P$182,R$3,0)</f>
        <v>1.8439968479157829E-2</v>
      </c>
    </row>
    <row r="95" spans="1:18" x14ac:dyDescent="0.35">
      <c r="A95" s="211" t="s">
        <v>216</v>
      </c>
      <c r="B95" s="211" t="s">
        <v>346</v>
      </c>
      <c r="C95" s="211" t="s">
        <v>348</v>
      </c>
      <c r="D95" s="307" t="s">
        <v>302</v>
      </c>
      <c r="E95" s="211" t="s">
        <v>315</v>
      </c>
      <c r="F95" s="211" t="s">
        <v>304</v>
      </c>
      <c r="G95" s="211" t="s">
        <v>326</v>
      </c>
      <c r="H95" s="305" t="s">
        <v>327</v>
      </c>
      <c r="I95" s="211" t="s">
        <v>81</v>
      </c>
      <c r="J95" s="306">
        <v>5.0000000000000001E-4</v>
      </c>
      <c r="K95" s="211" t="s">
        <v>221</v>
      </c>
      <c r="L95" s="211" t="s">
        <v>79</v>
      </c>
      <c r="M95" s="211" t="s">
        <v>347</v>
      </c>
      <c r="N95" s="239">
        <v>44925</v>
      </c>
      <c r="O95" s="239">
        <v>45289</v>
      </c>
      <c r="P95" s="239">
        <v>45657</v>
      </c>
      <c r="Q95" s="239">
        <v>46022</v>
      </c>
      <c r="R95" s="306">
        <f>VLOOKUP($A95,[1]CATALOGO!$B$6:$P$182,R$3,0)</f>
        <v>9.3996847915782757E-4</v>
      </c>
    </row>
    <row r="96" spans="1:18" x14ac:dyDescent="0.35">
      <c r="A96" s="211" t="s">
        <v>217</v>
      </c>
      <c r="B96" s="211" t="s">
        <v>346</v>
      </c>
      <c r="C96" s="211" t="s">
        <v>311</v>
      </c>
      <c r="D96" s="307" t="s">
        <v>302</v>
      </c>
      <c r="E96" s="211" t="s">
        <v>315</v>
      </c>
      <c r="F96" s="211" t="s">
        <v>304</v>
      </c>
      <c r="G96" s="211" t="s">
        <v>326</v>
      </c>
      <c r="H96" s="305" t="s">
        <v>327</v>
      </c>
      <c r="I96" s="211" t="s">
        <v>81</v>
      </c>
      <c r="J96" s="306">
        <v>2.5000000000000001E-3</v>
      </c>
      <c r="K96" s="211" t="s">
        <v>221</v>
      </c>
      <c r="L96" s="211" t="s">
        <v>79</v>
      </c>
      <c r="M96" s="211" t="s">
        <v>347</v>
      </c>
      <c r="N96" s="239">
        <v>44925</v>
      </c>
      <c r="O96" s="239">
        <v>45289</v>
      </c>
      <c r="P96" s="239">
        <v>45657</v>
      </c>
      <c r="Q96" s="239">
        <v>46022</v>
      </c>
      <c r="R96" s="306">
        <f>VLOOKUP($A96,[1]CATALOGO!$B$6:$P$182,R$3,0)</f>
        <v>2.9399684791578274E-3</v>
      </c>
    </row>
    <row r="97" spans="1:23" x14ac:dyDescent="0.35">
      <c r="A97" s="211" t="s">
        <v>218</v>
      </c>
      <c r="B97" s="211" t="s">
        <v>346</v>
      </c>
      <c r="C97" s="211" t="s">
        <v>309</v>
      </c>
      <c r="D97" s="307" t="s">
        <v>302</v>
      </c>
      <c r="E97" s="211" t="s">
        <v>315</v>
      </c>
      <c r="F97" s="211" t="s">
        <v>304</v>
      </c>
      <c r="G97" s="211" t="s">
        <v>326</v>
      </c>
      <c r="H97" s="305" t="s">
        <v>327</v>
      </c>
      <c r="I97" s="211" t="s">
        <v>81</v>
      </c>
      <c r="J97" s="306">
        <v>1.8000000000000002E-2</v>
      </c>
      <c r="K97" s="211" t="s">
        <v>221</v>
      </c>
      <c r="L97" s="211" t="s">
        <v>79</v>
      </c>
      <c r="M97" s="211" t="s">
        <v>347</v>
      </c>
      <c r="N97" s="239">
        <v>44925</v>
      </c>
      <c r="O97" s="239">
        <v>45289</v>
      </c>
      <c r="P97" s="239">
        <v>45657</v>
      </c>
      <c r="Q97" s="239">
        <v>46022</v>
      </c>
      <c r="R97" s="306">
        <f>VLOOKUP($A97,[1]CATALOGO!$B$6:$P$182,R$3,0)</f>
        <v>1.8439968479157829E-2</v>
      </c>
    </row>
    <row r="98" spans="1:23" x14ac:dyDescent="0.35">
      <c r="A98" s="211" t="s">
        <v>219</v>
      </c>
      <c r="B98" s="211" t="s">
        <v>346</v>
      </c>
      <c r="C98" s="211" t="s">
        <v>313</v>
      </c>
      <c r="D98" s="307" t="s">
        <v>302</v>
      </c>
      <c r="E98" s="211" t="s">
        <v>315</v>
      </c>
      <c r="F98" s="211" t="s">
        <v>304</v>
      </c>
      <c r="G98" s="211" t="s">
        <v>326</v>
      </c>
      <c r="H98" s="305" t="s">
        <v>327</v>
      </c>
      <c r="I98" s="211" t="s">
        <v>81</v>
      </c>
      <c r="J98" s="306">
        <v>1.8000000000000002E-2</v>
      </c>
      <c r="K98" s="211" t="s">
        <v>221</v>
      </c>
      <c r="L98" s="211" t="s">
        <v>79</v>
      </c>
      <c r="M98" s="211" t="s">
        <v>347</v>
      </c>
      <c r="N98" s="239">
        <v>44925</v>
      </c>
      <c r="O98" s="239">
        <v>45289</v>
      </c>
      <c r="P98" s="239">
        <v>45657</v>
      </c>
      <c r="Q98" s="239">
        <v>46022</v>
      </c>
      <c r="R98" s="306">
        <f>VLOOKUP($A98,[1]CATALOGO!$B$6:$P$182,R$3,0)</f>
        <v>1.8439968479157829E-2</v>
      </c>
    </row>
    <row r="99" spans="1:23" x14ac:dyDescent="0.35">
      <c r="A99" s="211" t="s">
        <v>220</v>
      </c>
      <c r="B99" s="211" t="s">
        <v>346</v>
      </c>
      <c r="C99" s="211" t="s">
        <v>314</v>
      </c>
      <c r="D99" s="307" t="s">
        <v>302</v>
      </c>
      <c r="E99" s="211" t="s">
        <v>315</v>
      </c>
      <c r="F99" s="211" t="s">
        <v>304</v>
      </c>
      <c r="G99" s="211" t="s">
        <v>326</v>
      </c>
      <c r="H99" s="305" t="s">
        <v>327</v>
      </c>
      <c r="I99" s="211" t="s">
        <v>81</v>
      </c>
      <c r="J99" s="306">
        <v>1.8000000000000002E-2</v>
      </c>
      <c r="K99" s="211" t="s">
        <v>221</v>
      </c>
      <c r="L99" s="211" t="s">
        <v>79</v>
      </c>
      <c r="M99" s="211" t="s">
        <v>347</v>
      </c>
      <c r="N99" s="239">
        <v>44925</v>
      </c>
      <c r="O99" s="239">
        <v>45289</v>
      </c>
      <c r="P99" s="239">
        <v>45657</v>
      </c>
      <c r="Q99" s="239">
        <v>46022</v>
      </c>
      <c r="R99" s="306">
        <f>VLOOKUP($A99,[1]CATALOGO!$B$6:$P$182,R$3,0)</f>
        <v>1.8439968479157829E-2</v>
      </c>
    </row>
    <row r="100" spans="1:23" x14ac:dyDescent="0.35">
      <c r="A100" s="211" t="s">
        <v>134</v>
      </c>
      <c r="B100" s="211" t="s">
        <v>349</v>
      </c>
      <c r="C100" s="211" t="s">
        <v>301</v>
      </c>
      <c r="D100" s="307" t="s">
        <v>302</v>
      </c>
      <c r="E100" s="211" t="s">
        <v>315</v>
      </c>
      <c r="F100" s="211" t="s">
        <v>304</v>
      </c>
      <c r="G100" s="211" t="s">
        <v>326</v>
      </c>
      <c r="H100" s="305" t="s">
        <v>327</v>
      </c>
      <c r="I100" s="211" t="s">
        <v>81</v>
      </c>
      <c r="J100" s="306">
        <v>1.8000000000000002E-2</v>
      </c>
      <c r="K100" s="211" t="s">
        <v>213</v>
      </c>
      <c r="L100" s="211" t="s">
        <v>79</v>
      </c>
      <c r="M100" s="211" t="s">
        <v>347</v>
      </c>
      <c r="N100" s="239">
        <v>44925</v>
      </c>
      <c r="O100" s="239">
        <v>45289</v>
      </c>
      <c r="P100" s="239">
        <v>45657</v>
      </c>
      <c r="Q100" s="239">
        <v>46022</v>
      </c>
      <c r="R100" s="306">
        <f>VLOOKUP($A100,[1]CATALOGO!$B$6:$P$182,R$3,0)</f>
        <v>1.82782790273045E-2</v>
      </c>
    </row>
    <row r="101" spans="1:23" x14ac:dyDescent="0.35">
      <c r="A101" s="211" t="s">
        <v>222</v>
      </c>
      <c r="B101" s="211" t="s">
        <v>349</v>
      </c>
      <c r="C101" s="211" t="s">
        <v>348</v>
      </c>
      <c r="D101" s="307" t="s">
        <v>302</v>
      </c>
      <c r="E101" s="211" t="s">
        <v>315</v>
      </c>
      <c r="F101" s="211" t="s">
        <v>304</v>
      </c>
      <c r="G101" s="211" t="s">
        <v>326</v>
      </c>
      <c r="H101" s="305" t="s">
        <v>327</v>
      </c>
      <c r="I101" s="211" t="s">
        <v>81</v>
      </c>
      <c r="J101" s="306">
        <v>5.0000000000000001E-4</v>
      </c>
      <c r="K101" s="211" t="s">
        <v>213</v>
      </c>
      <c r="L101" s="211" t="s">
        <v>79</v>
      </c>
      <c r="M101" s="211" t="s">
        <v>347</v>
      </c>
      <c r="N101" s="239">
        <v>44925</v>
      </c>
      <c r="O101" s="239">
        <v>45289</v>
      </c>
      <c r="P101" s="239">
        <v>45657</v>
      </c>
      <c r="Q101" s="239">
        <v>46022</v>
      </c>
      <c r="R101" s="306">
        <f>VLOOKUP($A101,[1]CATALOGO!$B$6:$P$182,R$3,0)</f>
        <v>7.782790273045011E-4</v>
      </c>
    </row>
    <row r="102" spans="1:23" x14ac:dyDescent="0.35">
      <c r="A102" s="211" t="s">
        <v>135</v>
      </c>
      <c r="B102" s="211" t="s">
        <v>349</v>
      </c>
      <c r="C102" s="211" t="s">
        <v>311</v>
      </c>
      <c r="D102" s="307" t="s">
        <v>302</v>
      </c>
      <c r="E102" s="211" t="s">
        <v>315</v>
      </c>
      <c r="F102" s="211" t="s">
        <v>304</v>
      </c>
      <c r="G102" s="211" t="s">
        <v>326</v>
      </c>
      <c r="H102" s="305" t="s">
        <v>327</v>
      </c>
      <c r="I102" s="211" t="s">
        <v>81</v>
      </c>
      <c r="J102" s="306">
        <v>2.5000000000000001E-3</v>
      </c>
      <c r="K102" s="211" t="s">
        <v>213</v>
      </c>
      <c r="L102" s="211" t="s">
        <v>79</v>
      </c>
      <c r="M102" s="211" t="s">
        <v>347</v>
      </c>
      <c r="N102" s="239">
        <v>44925</v>
      </c>
      <c r="O102" s="239">
        <v>45289</v>
      </c>
      <c r="P102" s="239">
        <v>45657</v>
      </c>
      <c r="Q102" s="239">
        <v>46022</v>
      </c>
      <c r="R102" s="306">
        <f>VLOOKUP($A102,[1]CATALOGO!$B$6:$P$182,R$3,0)</f>
        <v>2.7782790273045009E-3</v>
      </c>
    </row>
    <row r="103" spans="1:23" x14ac:dyDescent="0.35">
      <c r="A103" s="211" t="s">
        <v>136</v>
      </c>
      <c r="B103" s="211" t="s">
        <v>349</v>
      </c>
      <c r="C103" s="211" t="s">
        <v>309</v>
      </c>
      <c r="D103" s="307" t="s">
        <v>302</v>
      </c>
      <c r="E103" s="211" t="s">
        <v>315</v>
      </c>
      <c r="F103" s="211" t="s">
        <v>304</v>
      </c>
      <c r="G103" s="211" t="s">
        <v>326</v>
      </c>
      <c r="H103" s="305" t="s">
        <v>327</v>
      </c>
      <c r="I103" s="211" t="s">
        <v>81</v>
      </c>
      <c r="J103" s="306">
        <v>1.8000000000000002E-2</v>
      </c>
      <c r="K103" s="211" t="s">
        <v>213</v>
      </c>
      <c r="L103" s="211" t="s">
        <v>79</v>
      </c>
      <c r="M103" s="211" t="s">
        <v>347</v>
      </c>
      <c r="N103" s="239">
        <v>44925</v>
      </c>
      <c r="O103" s="239">
        <v>45289</v>
      </c>
      <c r="P103" s="239">
        <v>45657</v>
      </c>
      <c r="Q103" s="239">
        <v>46022</v>
      </c>
      <c r="R103" s="306">
        <f>VLOOKUP($A103,[1]CATALOGO!$B$6:$P$182,R$3,0)</f>
        <v>1.82782790273045E-2</v>
      </c>
    </row>
    <row r="104" spans="1:23" x14ac:dyDescent="0.35">
      <c r="A104" s="211" t="s">
        <v>137</v>
      </c>
      <c r="B104" s="211" t="s">
        <v>349</v>
      </c>
      <c r="C104" s="211" t="s">
        <v>313</v>
      </c>
      <c r="D104" s="307" t="s">
        <v>302</v>
      </c>
      <c r="E104" s="211" t="s">
        <v>315</v>
      </c>
      <c r="F104" s="211" t="s">
        <v>304</v>
      </c>
      <c r="G104" s="211" t="s">
        <v>326</v>
      </c>
      <c r="H104" s="305" t="s">
        <v>327</v>
      </c>
      <c r="I104" s="211" t="s">
        <v>81</v>
      </c>
      <c r="J104" s="306">
        <v>1.8000000000000002E-2</v>
      </c>
      <c r="K104" s="211" t="s">
        <v>213</v>
      </c>
      <c r="L104" s="211" t="s">
        <v>79</v>
      </c>
      <c r="M104" s="211" t="s">
        <v>347</v>
      </c>
      <c r="N104" s="239">
        <v>44925</v>
      </c>
      <c r="O104" s="239">
        <v>45289</v>
      </c>
      <c r="P104" s="239">
        <v>45657</v>
      </c>
      <c r="Q104" s="239">
        <v>46022</v>
      </c>
      <c r="R104" s="306">
        <f>VLOOKUP($A104,[1]CATALOGO!$B$6:$P$182,R$3,0)</f>
        <v>1.82782790273045E-2</v>
      </c>
    </row>
    <row r="105" spans="1:23" x14ac:dyDescent="0.35">
      <c r="A105" s="211" t="s">
        <v>138</v>
      </c>
      <c r="B105" s="211" t="s">
        <v>349</v>
      </c>
      <c r="C105" s="211" t="s">
        <v>314</v>
      </c>
      <c r="D105" s="307" t="s">
        <v>302</v>
      </c>
      <c r="E105" s="211" t="s">
        <v>315</v>
      </c>
      <c r="F105" s="211" t="s">
        <v>304</v>
      </c>
      <c r="G105" s="211" t="s">
        <v>326</v>
      </c>
      <c r="H105" s="305" t="s">
        <v>327</v>
      </c>
      <c r="I105" s="211" t="s">
        <v>81</v>
      </c>
      <c r="J105" s="306">
        <v>1.8000000000000002E-2</v>
      </c>
      <c r="K105" s="211" t="s">
        <v>213</v>
      </c>
      <c r="L105" s="211" t="s">
        <v>79</v>
      </c>
      <c r="M105" s="211" t="s">
        <v>347</v>
      </c>
      <c r="N105" s="239">
        <v>44925</v>
      </c>
      <c r="O105" s="239">
        <v>45289</v>
      </c>
      <c r="P105" s="239">
        <v>45657</v>
      </c>
      <c r="Q105" s="239">
        <v>46022</v>
      </c>
      <c r="R105" s="306">
        <f>VLOOKUP($A105,[1]CATALOGO!$B$6:$P$182,R$3,0)</f>
        <v>1.82782790273045E-2</v>
      </c>
    </row>
    <row r="106" spans="1:23" x14ac:dyDescent="0.35">
      <c r="A106" s="211" t="s">
        <v>140</v>
      </c>
      <c r="B106" s="211" t="s">
        <v>349</v>
      </c>
      <c r="C106" s="211" t="s">
        <v>312</v>
      </c>
      <c r="D106" s="307" t="s">
        <v>302</v>
      </c>
      <c r="E106" s="211" t="s">
        <v>315</v>
      </c>
      <c r="F106" s="211" t="s">
        <v>304</v>
      </c>
      <c r="G106" s="211" t="s">
        <v>326</v>
      </c>
      <c r="H106" s="305" t="s">
        <v>327</v>
      </c>
      <c r="I106" s="211" t="s">
        <v>81</v>
      </c>
      <c r="J106" s="306">
        <v>1.8000000000000002E-2</v>
      </c>
      <c r="K106" s="211" t="s">
        <v>213</v>
      </c>
      <c r="L106" s="211" t="s">
        <v>79</v>
      </c>
      <c r="M106" s="211" t="s">
        <v>347</v>
      </c>
      <c r="N106" s="239">
        <v>44925</v>
      </c>
      <c r="O106" s="239">
        <v>45289</v>
      </c>
      <c r="P106" s="239">
        <v>45657</v>
      </c>
      <c r="Q106" s="239">
        <v>46022</v>
      </c>
      <c r="R106" s="306">
        <f>VLOOKUP($A106,[1]CATALOGO!$B$6:$P$182,R$3,0)</f>
        <v>1.82782790273045E-2</v>
      </c>
    </row>
    <row r="107" spans="1:23" x14ac:dyDescent="0.35">
      <c r="D107" s="307"/>
      <c r="H107" s="305"/>
      <c r="J107" s="306"/>
      <c r="N107" s="239"/>
      <c r="O107" s="239"/>
      <c r="P107" s="239"/>
      <c r="Q107" s="239"/>
      <c r="R107" s="239"/>
    </row>
    <row r="108" spans="1:23" x14ac:dyDescent="0.35">
      <c r="A108" s="211" t="s">
        <v>16</v>
      </c>
      <c r="B108" s="211" t="s">
        <v>73</v>
      </c>
      <c r="I108" s="211" t="s">
        <v>81</v>
      </c>
      <c r="K108" s="239" t="s">
        <v>81</v>
      </c>
      <c r="L108" s="211" t="s">
        <v>79</v>
      </c>
      <c r="N108" s="239">
        <v>44925</v>
      </c>
      <c r="O108" s="239">
        <v>45289</v>
      </c>
      <c r="P108" s="239">
        <v>45657</v>
      </c>
      <c r="Q108" s="239">
        <v>46022</v>
      </c>
      <c r="R108" s="238">
        <v>0</v>
      </c>
      <c r="S108" s="239"/>
      <c r="T108" s="239"/>
      <c r="U108" s="239"/>
      <c r="V108" s="239"/>
      <c r="W108" s="239"/>
    </row>
    <row r="109" spans="1:23" x14ac:dyDescent="0.35">
      <c r="A109" s="211" t="s">
        <v>17</v>
      </c>
      <c r="B109" s="211" t="s">
        <v>72</v>
      </c>
      <c r="I109" s="211" t="s">
        <v>81</v>
      </c>
      <c r="K109" s="239" t="s">
        <v>81</v>
      </c>
      <c r="L109" s="211" t="s">
        <v>23</v>
      </c>
      <c r="N109" s="239">
        <v>44925</v>
      </c>
      <c r="O109" s="239">
        <v>45289</v>
      </c>
      <c r="P109" s="239">
        <v>45657</v>
      </c>
      <c r="Q109" s="239">
        <v>46022</v>
      </c>
      <c r="R109" s="238">
        <v>0</v>
      </c>
      <c r="S109" s="239"/>
      <c r="T109" s="239"/>
      <c r="U109" s="239"/>
      <c r="V109" s="239"/>
      <c r="W109" s="239"/>
    </row>
    <row r="110" spans="1:23" x14ac:dyDescent="0.35">
      <c r="A110" s="211" t="s">
        <v>18</v>
      </c>
      <c r="B110" s="211" t="s">
        <v>70</v>
      </c>
      <c r="I110" s="211" t="s">
        <v>81</v>
      </c>
      <c r="K110" s="239" t="s">
        <v>81</v>
      </c>
      <c r="L110" s="211" t="s">
        <v>23</v>
      </c>
      <c r="N110" s="239">
        <v>44925</v>
      </c>
      <c r="O110" s="239">
        <v>45289</v>
      </c>
      <c r="P110" s="239">
        <v>45657</v>
      </c>
      <c r="Q110" s="239">
        <v>46022</v>
      </c>
      <c r="R110" s="238">
        <v>0</v>
      </c>
      <c r="S110" s="239"/>
      <c r="T110" s="239"/>
      <c r="U110" s="239"/>
      <c r="V110" s="239"/>
      <c r="W110" s="239"/>
    </row>
    <row r="111" spans="1:23" x14ac:dyDescent="0.35">
      <c r="A111" s="211" t="s">
        <v>271</v>
      </c>
      <c r="B111" s="211" t="s">
        <v>74</v>
      </c>
      <c r="I111" s="211" t="s">
        <v>81</v>
      </c>
      <c r="K111" s="239" t="s">
        <v>81</v>
      </c>
      <c r="L111" s="211" t="s">
        <v>79</v>
      </c>
      <c r="N111" s="239">
        <v>44925</v>
      </c>
      <c r="O111" s="239">
        <v>45289</v>
      </c>
      <c r="P111" s="239">
        <v>45657</v>
      </c>
      <c r="Q111" s="239">
        <v>46022</v>
      </c>
      <c r="R111" s="238">
        <v>0</v>
      </c>
      <c r="S111" s="239"/>
      <c r="T111" s="239"/>
      <c r="U111" s="239"/>
      <c r="V111" s="239"/>
      <c r="W111" s="239"/>
    </row>
    <row r="112" spans="1:23" x14ac:dyDescent="0.35">
      <c r="A112" s="211" t="s">
        <v>112</v>
      </c>
      <c r="B112" s="211" t="s">
        <v>113</v>
      </c>
      <c r="I112" s="211" t="s">
        <v>81</v>
      </c>
      <c r="K112" s="239" t="s">
        <v>81</v>
      </c>
      <c r="L112" s="211" t="s">
        <v>79</v>
      </c>
      <c r="N112" s="239">
        <v>44925</v>
      </c>
      <c r="O112" s="239">
        <v>45289</v>
      </c>
      <c r="P112" s="239">
        <v>45657</v>
      </c>
      <c r="Q112" s="239">
        <v>46022</v>
      </c>
      <c r="R112" s="238">
        <v>0</v>
      </c>
      <c r="S112" s="239"/>
      <c r="T112" s="239"/>
      <c r="U112" s="239"/>
      <c r="V112" s="239"/>
      <c r="W112" s="239"/>
    </row>
    <row r="113" spans="1:23" x14ac:dyDescent="0.35">
      <c r="A113" s="211" t="s">
        <v>272</v>
      </c>
      <c r="B113" s="211" t="s">
        <v>212</v>
      </c>
      <c r="I113" s="211" t="s">
        <v>81</v>
      </c>
      <c r="K113" s="239" t="s">
        <v>81</v>
      </c>
      <c r="L113" s="211" t="s">
        <v>79</v>
      </c>
      <c r="N113" s="239">
        <v>44925</v>
      </c>
      <c r="O113" s="239">
        <v>45289</v>
      </c>
      <c r="P113" s="239">
        <v>45657</v>
      </c>
      <c r="Q113" s="239">
        <v>46022</v>
      </c>
      <c r="R113" s="238">
        <v>0</v>
      </c>
      <c r="S113" s="239"/>
      <c r="T113" s="239"/>
      <c r="U113" s="239"/>
      <c r="V113" s="239"/>
      <c r="W113" s="239"/>
    </row>
    <row r="114" spans="1:23" x14ac:dyDescent="0.35">
      <c r="A114" s="211" t="s">
        <v>210</v>
      </c>
      <c r="B114" s="211" t="s">
        <v>211</v>
      </c>
      <c r="I114" s="211" t="s">
        <v>81</v>
      </c>
      <c r="K114" s="239" t="s">
        <v>81</v>
      </c>
      <c r="L114" s="211" t="s">
        <v>79</v>
      </c>
      <c r="N114" s="239">
        <v>44925</v>
      </c>
      <c r="O114" s="239">
        <v>45289</v>
      </c>
      <c r="P114" s="239">
        <v>45657</v>
      </c>
      <c r="Q114" s="239">
        <v>46022</v>
      </c>
      <c r="R114" s="238">
        <v>0</v>
      </c>
      <c r="S114" s="239"/>
      <c r="T114" s="239"/>
      <c r="U114" s="239"/>
      <c r="V114" s="239"/>
      <c r="W114" s="239"/>
    </row>
    <row r="115" spans="1:23" x14ac:dyDescent="0.35">
      <c r="A115" s="211" t="s">
        <v>61</v>
      </c>
      <c r="B115" s="211" t="s">
        <v>71</v>
      </c>
      <c r="I115" s="211" t="s">
        <v>81</v>
      </c>
      <c r="K115" s="239" t="s">
        <v>81</v>
      </c>
      <c r="L115" s="211" t="s">
        <v>23</v>
      </c>
      <c r="N115" s="239">
        <v>44925</v>
      </c>
      <c r="O115" s="239">
        <v>45289</v>
      </c>
      <c r="P115" s="239">
        <v>45657</v>
      </c>
      <c r="Q115" s="239">
        <v>46022</v>
      </c>
      <c r="R115" s="238">
        <v>0</v>
      </c>
      <c r="S115" s="239"/>
      <c r="T115" s="239"/>
      <c r="U115" s="239"/>
      <c r="V115" s="239"/>
      <c r="W115" s="239"/>
    </row>
    <row r="116" spans="1:23" x14ac:dyDescent="0.35">
      <c r="A116" s="211" t="s">
        <v>76</v>
      </c>
      <c r="B116" s="211" t="s">
        <v>75</v>
      </c>
      <c r="I116" s="211" t="s">
        <v>81</v>
      </c>
      <c r="K116" s="239" t="s">
        <v>81</v>
      </c>
      <c r="L116" s="211" t="s">
        <v>23</v>
      </c>
      <c r="N116" s="239">
        <v>44925</v>
      </c>
      <c r="O116" s="239">
        <v>45289</v>
      </c>
      <c r="P116" s="239">
        <v>45657</v>
      </c>
      <c r="Q116" s="239">
        <v>46022</v>
      </c>
      <c r="R116" s="238">
        <v>0</v>
      </c>
      <c r="S116" s="239"/>
      <c r="T116" s="239"/>
      <c r="U116" s="239"/>
      <c r="V116" s="239"/>
      <c r="W116" s="239"/>
    </row>
    <row r="117" spans="1:23" x14ac:dyDescent="0.35">
      <c r="A117" s="211" t="s">
        <v>77</v>
      </c>
      <c r="B117" s="211" t="s">
        <v>78</v>
      </c>
      <c r="I117" s="211" t="s">
        <v>81</v>
      </c>
      <c r="K117" s="239" t="s">
        <v>81</v>
      </c>
      <c r="L117" s="211" t="s">
        <v>23</v>
      </c>
      <c r="N117" s="239">
        <v>44925</v>
      </c>
      <c r="O117" s="239">
        <v>45289</v>
      </c>
      <c r="P117" s="239">
        <v>45657</v>
      </c>
      <c r="Q117" s="239">
        <v>46022</v>
      </c>
      <c r="R117" s="238">
        <v>0</v>
      </c>
      <c r="S117" s="239"/>
      <c r="T117" s="239"/>
      <c r="U117" s="239"/>
      <c r="V117" s="239"/>
      <c r="W117" s="239"/>
    </row>
    <row r="118" spans="1:23" x14ac:dyDescent="0.35">
      <c r="A118" s="211" t="s">
        <v>175</v>
      </c>
      <c r="B118" s="211" t="s">
        <v>177</v>
      </c>
      <c r="I118" s="211" t="s">
        <v>81</v>
      </c>
      <c r="K118" s="239" t="s">
        <v>81</v>
      </c>
      <c r="L118" s="211" t="s">
        <v>23</v>
      </c>
      <c r="N118" s="239">
        <v>44925</v>
      </c>
      <c r="O118" s="239">
        <v>45289</v>
      </c>
      <c r="P118" s="239">
        <v>45657</v>
      </c>
      <c r="Q118" s="239">
        <v>46022</v>
      </c>
      <c r="R118" s="238">
        <v>0</v>
      </c>
      <c r="S118" s="239"/>
      <c r="T118" s="239"/>
      <c r="U118" s="239"/>
      <c r="V118" s="239"/>
      <c r="W118" s="239"/>
    </row>
    <row r="119" spans="1:23" x14ac:dyDescent="0.35">
      <c r="A119" s="211" t="s">
        <v>174</v>
      </c>
      <c r="B119" s="211" t="s">
        <v>178</v>
      </c>
      <c r="I119" s="211" t="s">
        <v>81</v>
      </c>
      <c r="K119" s="239" t="s">
        <v>81</v>
      </c>
      <c r="L119" s="211" t="s">
        <v>23</v>
      </c>
      <c r="N119" s="239">
        <v>44925</v>
      </c>
      <c r="O119" s="239">
        <v>45289</v>
      </c>
      <c r="P119" s="239">
        <v>45657</v>
      </c>
      <c r="Q119" s="239">
        <v>46022</v>
      </c>
      <c r="R119" s="238">
        <v>0</v>
      </c>
      <c r="S119" s="239"/>
      <c r="T119" s="239"/>
      <c r="U119" s="239"/>
      <c r="V119" s="239"/>
      <c r="W119" s="239"/>
    </row>
    <row r="120" spans="1:23" x14ac:dyDescent="0.35">
      <c r="A120" s="211" t="s">
        <v>176</v>
      </c>
      <c r="B120" s="211" t="s">
        <v>179</v>
      </c>
      <c r="I120" s="211" t="s">
        <v>81</v>
      </c>
      <c r="K120" s="239" t="s">
        <v>81</v>
      </c>
      <c r="L120" s="211" t="s">
        <v>23</v>
      </c>
      <c r="N120" s="239">
        <v>44925</v>
      </c>
      <c r="O120" s="239">
        <v>45289</v>
      </c>
      <c r="P120" s="239">
        <v>45657</v>
      </c>
      <c r="Q120" s="239">
        <v>46022</v>
      </c>
      <c r="R120" s="238">
        <v>0</v>
      </c>
      <c r="S120" s="239"/>
      <c r="T120" s="239"/>
      <c r="U120" s="239"/>
      <c r="V120" s="239"/>
      <c r="W120" s="239"/>
    </row>
    <row r="121" spans="1:23" x14ac:dyDescent="0.35">
      <c r="A121" s="211" t="s">
        <v>189</v>
      </c>
      <c r="B121" s="211" t="s">
        <v>190</v>
      </c>
      <c r="I121" s="211" t="s">
        <v>81</v>
      </c>
      <c r="K121" s="239" t="s">
        <v>81</v>
      </c>
      <c r="L121" s="211" t="s">
        <v>23</v>
      </c>
      <c r="N121" s="239">
        <v>44925</v>
      </c>
      <c r="O121" s="239">
        <v>45289</v>
      </c>
      <c r="P121" s="239">
        <v>45657</v>
      </c>
      <c r="Q121" s="239">
        <v>46022</v>
      </c>
      <c r="R121" s="238">
        <v>0</v>
      </c>
      <c r="S121" s="239"/>
      <c r="T121" s="239"/>
      <c r="U121" s="239"/>
      <c r="V121" s="239"/>
      <c r="W121" s="239"/>
    </row>
    <row r="122" spans="1:23" x14ac:dyDescent="0.35">
      <c r="A122" s="211" t="s">
        <v>188</v>
      </c>
      <c r="B122" s="211" t="s">
        <v>191</v>
      </c>
      <c r="I122" s="211" t="s">
        <v>81</v>
      </c>
      <c r="K122" s="239" t="s">
        <v>81</v>
      </c>
      <c r="L122" s="211" t="s">
        <v>23</v>
      </c>
      <c r="N122" s="239">
        <v>44925</v>
      </c>
      <c r="O122" s="239">
        <v>45289</v>
      </c>
      <c r="P122" s="239">
        <v>45657</v>
      </c>
      <c r="Q122" s="239">
        <v>46022</v>
      </c>
      <c r="R122" s="238">
        <v>0</v>
      </c>
      <c r="S122" s="239"/>
      <c r="T122" s="239"/>
      <c r="U122" s="239"/>
      <c r="V122" s="239"/>
      <c r="W122" s="239"/>
    </row>
    <row r="123" spans="1:23" x14ac:dyDescent="0.35">
      <c r="I123" s="238"/>
      <c r="K123" s="239"/>
    </row>
    <row r="124" spans="1:23" x14ac:dyDescent="0.35">
      <c r="A124" s="211">
        <v>0</v>
      </c>
      <c r="B124" s="211">
        <v>0</v>
      </c>
      <c r="K124" s="239" t="s">
        <v>81</v>
      </c>
      <c r="O124" s="211">
        <v>0</v>
      </c>
    </row>
  </sheetData>
  <sheetProtection algorithmName="SHA-512" hashValue="f05CIQAqibuVcs7jdZQhFJwyI9kyUwvNOSP+PldRkIZEMI6F+fAuaYliKRlsFRDoY11PTWQ2xbSmy9fROqXPXQ==" saltValue="vJgFUx1uUP/wAbOEucYri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GRAFICAS</vt:lpstr>
      <vt:lpstr>36 MESES</vt:lpstr>
      <vt:lpstr>24 MESES</vt:lpstr>
      <vt:lpstr>12 MESES</vt:lpstr>
      <vt:lpstr>CALIFICACIONES</vt:lpstr>
      <vt:lpstr>FORMULAS</vt:lpstr>
      <vt:lpstr>TASAS EN USD</vt:lpstr>
      <vt:lpstr>MTX PRECIOS</vt:lpstr>
      <vt:lpstr>MTX CARAC</vt:lpstr>
      <vt:lpstr>12M CALENDAR</vt:lpstr>
      <vt:lpstr>'12 MESES'!Área_de_impresión</vt:lpstr>
      <vt:lpstr>'24 MESES'!Área_de_impresión</vt:lpstr>
      <vt:lpstr>'36 MESES'!Área_de_impresión</vt:lpstr>
      <vt:lpstr>GRAFICAS!Área_de_impresión</vt:lpstr>
      <vt:lpstr>'TASAS EN USD'!Área_de_impresión</vt:lpstr>
      <vt:lpstr>'12 MESES'!Títulos_a_imprimir</vt:lpstr>
      <vt:lpstr>'24 MESES'!Títulos_a_imprimir</vt:lpstr>
      <vt:lpstr>'36 MESES'!Títulos_a_imprimir</vt:lpstr>
    </vt:vector>
  </TitlesOfParts>
  <Company>Grupo Financiero Multiva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carlos.rodal</dc:creator>
  <cp:lastModifiedBy>Carlos Alberto Rodal Diaz</cp:lastModifiedBy>
  <cp:lastPrinted>2026-04-01T19:00:16Z</cp:lastPrinted>
  <dcterms:created xsi:type="dcterms:W3CDTF">2012-07-12T15:13:23Z</dcterms:created>
  <dcterms:modified xsi:type="dcterms:W3CDTF">2026-05-06T15:37:36Z</dcterms:modified>
</cp:coreProperties>
</file>